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6FA0ED5A-75E2-4501-9D3D-5A8644FF271A}" xr6:coauthVersionLast="47" xr6:coauthVersionMax="47" xr10:uidLastSave="{00000000-0000-0000-0000-000000000000}"/>
  <bookViews>
    <workbookView xWindow="-110" yWindow="-110" windowWidth="38620" windowHeight="21100" tabRatio="912" xr2:uid="{68634A67-8268-409B-B599-6F023BC79478}"/>
  </bookViews>
  <sheets>
    <sheet name="Table 3A" sheetId="2" r:id="rId1"/>
    <sheet name="Table 3B" sheetId="3" r:id="rId2"/>
    <sheet name="Table 3C" sheetId="6" r:id="rId3"/>
    <sheet name="Table 3D" sheetId="7" r:id="rId4"/>
    <sheet name="Table 3E" sheetId="9" r:id="rId5"/>
    <sheet name="Table 3F" sheetId="11" r:id="rId6"/>
    <sheet name="Table 3G" sheetId="12" r:id="rId7"/>
    <sheet name="Table 3H" sheetId="13" r:id="rId8"/>
    <sheet name="Parameters" sheetId="1" state="hidden" r:id="rId9"/>
    <sheet name="Table 3B-DMV-Licensed Drivers" sheetId="4" state="hidden" r:id="rId10"/>
  </sheets>
  <calcPr calcId="191029"/>
  <pivotCaches>
    <pivotCache cacheId="28" r:id="rId11"/>
    <pivotCache cacheId="29" r:id="rId12"/>
    <pivotCache cacheId="30" r:id="rId13"/>
    <pivotCache cacheId="31" r:id="rId14"/>
    <pivotCache cacheId="32" r:id="rId15"/>
    <pivotCache cacheId="33" r:id="rId16"/>
    <pivotCache cacheId="34" r:id="rId17"/>
    <pivotCache cacheId="35" r:id="rId18"/>
    <pivotCache cacheId="36" r:id="rId19"/>
    <pivotCache cacheId="37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3" l="1"/>
  <c r="J27" i="3"/>
  <c r="I13" i="3"/>
  <c r="D25" i="4"/>
  <c r="A84" i="1"/>
  <c r="A1" i="13" s="1"/>
  <c r="A81" i="1" l="1"/>
  <c r="A1" i="12" s="1"/>
  <c r="A78" i="1" l="1"/>
  <c r="A1" i="11" s="1"/>
  <c r="A59" i="1" l="1"/>
  <c r="A1" i="9" s="1"/>
  <c r="A40" i="1" l="1"/>
  <c r="A1" i="7" s="1"/>
  <c r="A37" i="1" l="1"/>
  <c r="A1" i="6" s="1"/>
  <c r="E92" i="4" l="1"/>
  <c r="H22" i="4" s="1"/>
  <c r="B25" i="3" s="1"/>
  <c r="D91" i="4"/>
  <c r="C91" i="4"/>
  <c r="J21" i="4" s="1"/>
  <c r="D24" i="3" s="1"/>
  <c r="B91" i="4"/>
  <c r="I21" i="4" s="1"/>
  <c r="C24" i="3" s="1"/>
  <c r="E90" i="4"/>
  <c r="E89" i="4"/>
  <c r="E88" i="4"/>
  <c r="E87" i="4"/>
  <c r="E86" i="4"/>
  <c r="D85" i="4"/>
  <c r="K20" i="4" s="1"/>
  <c r="E23" i="3" s="1"/>
  <c r="C85" i="4"/>
  <c r="J20" i="4" s="1"/>
  <c r="D23" i="3" s="1"/>
  <c r="B85" i="4"/>
  <c r="I20" i="4" s="1"/>
  <c r="C23" i="3" s="1"/>
  <c r="E84" i="4"/>
  <c r="E83" i="4"/>
  <c r="E82" i="4"/>
  <c r="E81" i="4"/>
  <c r="E80" i="4"/>
  <c r="D79" i="4"/>
  <c r="K19" i="4" s="1"/>
  <c r="E22" i="3" s="1"/>
  <c r="C79" i="4"/>
  <c r="J19" i="4" s="1"/>
  <c r="D22" i="3" s="1"/>
  <c r="B79" i="4"/>
  <c r="I19" i="4" s="1"/>
  <c r="C22" i="3" s="1"/>
  <c r="E78" i="4"/>
  <c r="E77" i="4"/>
  <c r="E76" i="4"/>
  <c r="E75" i="4"/>
  <c r="E74" i="4"/>
  <c r="D73" i="4"/>
  <c r="K18" i="4" s="1"/>
  <c r="E21" i="3" s="1"/>
  <c r="C73" i="4"/>
  <c r="J18" i="4" s="1"/>
  <c r="D21" i="3" s="1"/>
  <c r="B73" i="4"/>
  <c r="I18" i="4" s="1"/>
  <c r="C21" i="3" s="1"/>
  <c r="E72" i="4"/>
  <c r="E71" i="4"/>
  <c r="E70" i="4"/>
  <c r="E69" i="4"/>
  <c r="E68" i="4"/>
  <c r="D67" i="4"/>
  <c r="K17" i="4" s="1"/>
  <c r="E20" i="3" s="1"/>
  <c r="C67" i="4"/>
  <c r="J17" i="4" s="1"/>
  <c r="D20" i="3" s="1"/>
  <c r="B67" i="4"/>
  <c r="I17" i="4" s="1"/>
  <c r="C20" i="3" s="1"/>
  <c r="E66" i="4"/>
  <c r="E65" i="4"/>
  <c r="E64" i="4"/>
  <c r="E63" i="4"/>
  <c r="E62" i="4"/>
  <c r="D61" i="4"/>
  <c r="K16" i="4" s="1"/>
  <c r="E19" i="3" s="1"/>
  <c r="C61" i="4"/>
  <c r="J16" i="4" s="1"/>
  <c r="D19" i="3" s="1"/>
  <c r="B61" i="4"/>
  <c r="I16" i="4" s="1"/>
  <c r="C19" i="3" s="1"/>
  <c r="E60" i="4"/>
  <c r="E59" i="4"/>
  <c r="E58" i="4"/>
  <c r="E57" i="4"/>
  <c r="E56" i="4"/>
  <c r="D55" i="4"/>
  <c r="K15" i="4" s="1"/>
  <c r="E18" i="3" s="1"/>
  <c r="C55" i="4"/>
  <c r="J15" i="4" s="1"/>
  <c r="D18" i="3" s="1"/>
  <c r="B55" i="4"/>
  <c r="I15" i="4" s="1"/>
  <c r="C18" i="3" s="1"/>
  <c r="E54" i="4"/>
  <c r="E53" i="4"/>
  <c r="E52" i="4"/>
  <c r="E51" i="4"/>
  <c r="E50" i="4"/>
  <c r="D49" i="4"/>
  <c r="K14" i="4" s="1"/>
  <c r="E17" i="3" s="1"/>
  <c r="C49" i="4"/>
  <c r="J14" i="4" s="1"/>
  <c r="D17" i="3" s="1"/>
  <c r="B49" i="4"/>
  <c r="I14" i="4" s="1"/>
  <c r="C17" i="3" s="1"/>
  <c r="E48" i="4"/>
  <c r="E47" i="4"/>
  <c r="E46" i="4"/>
  <c r="E45" i="4"/>
  <c r="E44" i="4"/>
  <c r="D43" i="4"/>
  <c r="K13" i="4" s="1"/>
  <c r="E16" i="3" s="1"/>
  <c r="C43" i="4"/>
  <c r="J13" i="4" s="1"/>
  <c r="D16" i="3" s="1"/>
  <c r="B43" i="4"/>
  <c r="I13" i="4" s="1"/>
  <c r="C16" i="3" s="1"/>
  <c r="E42" i="4"/>
  <c r="E41" i="4"/>
  <c r="E40" i="4"/>
  <c r="E39" i="4"/>
  <c r="E38" i="4"/>
  <c r="D37" i="4"/>
  <c r="K12" i="4" s="1"/>
  <c r="E15" i="3" s="1"/>
  <c r="C37" i="4"/>
  <c r="J12" i="4" s="1"/>
  <c r="D15" i="3" s="1"/>
  <c r="B37" i="4"/>
  <c r="I12" i="4" s="1"/>
  <c r="C15" i="3" s="1"/>
  <c r="E36" i="4"/>
  <c r="E35" i="4"/>
  <c r="E34" i="4"/>
  <c r="E33" i="4"/>
  <c r="E32" i="4"/>
  <c r="D31" i="4"/>
  <c r="K11" i="4" s="1"/>
  <c r="E14" i="3" s="1"/>
  <c r="C31" i="4"/>
  <c r="J11" i="4" s="1"/>
  <c r="D14" i="3" s="1"/>
  <c r="B31" i="4"/>
  <c r="I11" i="4" s="1"/>
  <c r="C14" i="3" s="1"/>
  <c r="E30" i="4"/>
  <c r="E29" i="4"/>
  <c r="E28" i="4"/>
  <c r="E27" i="4"/>
  <c r="E26" i="4"/>
  <c r="K10" i="4"/>
  <c r="E13" i="3" s="1"/>
  <c r="C25" i="4"/>
  <c r="J10" i="4" s="1"/>
  <c r="D13" i="3" s="1"/>
  <c r="B25" i="4"/>
  <c r="I10" i="4" s="1"/>
  <c r="C13" i="3" s="1"/>
  <c r="E24" i="4"/>
  <c r="E23" i="4"/>
  <c r="K22" i="4"/>
  <c r="J22" i="4"/>
  <c r="D25" i="3" s="1"/>
  <c r="I22" i="4"/>
  <c r="C25" i="3" s="1"/>
  <c r="G22" i="4"/>
  <c r="E22" i="4"/>
  <c r="K21" i="4"/>
  <c r="E24" i="3" s="1"/>
  <c r="G21" i="4"/>
  <c r="E21" i="4"/>
  <c r="G20" i="4"/>
  <c r="E20" i="4"/>
  <c r="G19" i="4"/>
  <c r="D19" i="4"/>
  <c r="K9" i="4" s="1"/>
  <c r="E12" i="3" s="1"/>
  <c r="C19" i="4"/>
  <c r="J9" i="4" s="1"/>
  <c r="D12" i="3" s="1"/>
  <c r="B19" i="4"/>
  <c r="I9" i="4" s="1"/>
  <c r="C12" i="3" s="1"/>
  <c r="G18" i="4"/>
  <c r="E18" i="4"/>
  <c r="G17" i="4"/>
  <c r="E17" i="4"/>
  <c r="G16" i="4"/>
  <c r="E16" i="4"/>
  <c r="G15" i="4"/>
  <c r="E15" i="4"/>
  <c r="G14" i="4"/>
  <c r="E14" i="4"/>
  <c r="G13" i="4"/>
  <c r="D13" i="4"/>
  <c r="K8" i="4" s="1"/>
  <c r="E11" i="3" s="1"/>
  <c r="C13" i="4"/>
  <c r="J8" i="4" s="1"/>
  <c r="D11" i="3" s="1"/>
  <c r="B13" i="4"/>
  <c r="I8" i="4" s="1"/>
  <c r="C11" i="3" s="1"/>
  <c r="G12" i="4"/>
  <c r="E12" i="4"/>
  <c r="G11" i="4"/>
  <c r="E11" i="4"/>
  <c r="G10" i="4"/>
  <c r="E10" i="4"/>
  <c r="G9" i="4"/>
  <c r="E9" i="4"/>
  <c r="G8" i="4"/>
  <c r="E8" i="4"/>
  <c r="G7" i="4"/>
  <c r="D7" i="4"/>
  <c r="C7" i="4"/>
  <c r="B7" i="4"/>
  <c r="E6" i="4"/>
  <c r="E5" i="4"/>
  <c r="E4" i="4"/>
  <c r="E3" i="4"/>
  <c r="E25" i="3"/>
  <c r="F16" i="3"/>
  <c r="G18" i="3"/>
  <c r="G13" i="3"/>
  <c r="F10" i="3"/>
  <c r="G10" i="3"/>
  <c r="F25" i="3"/>
  <c r="F18" i="3"/>
  <c r="F9" i="3"/>
  <c r="G21" i="3"/>
  <c r="F23" i="3"/>
  <c r="F21" i="3"/>
  <c r="G19" i="3"/>
  <c r="G27" i="3"/>
  <c r="F13" i="3"/>
  <c r="F22" i="3"/>
  <c r="G20" i="3"/>
  <c r="G12" i="3"/>
  <c r="G23" i="3"/>
  <c r="G9" i="3"/>
  <c r="F14" i="3"/>
  <c r="F27" i="3"/>
  <c r="G14" i="3"/>
  <c r="G26" i="3"/>
  <c r="G16" i="3"/>
  <c r="G15" i="3"/>
  <c r="F15" i="3"/>
  <c r="G22" i="3"/>
  <c r="F19" i="3"/>
  <c r="G25" i="3"/>
  <c r="G17" i="3"/>
  <c r="G24" i="3"/>
  <c r="F26" i="3"/>
  <c r="F17" i="3"/>
  <c r="G11" i="3"/>
  <c r="F11" i="3"/>
  <c r="F20" i="3"/>
  <c r="F12" i="3"/>
  <c r="F24" i="3"/>
  <c r="C93" i="4" l="1"/>
  <c r="E13" i="4"/>
  <c r="H8" i="4" s="1"/>
  <c r="B11" i="3" s="1"/>
  <c r="H11" i="3" s="1"/>
  <c r="B93" i="4"/>
  <c r="I7" i="4"/>
  <c r="C10" i="3" s="1"/>
  <c r="J7" i="4"/>
  <c r="E7" i="4"/>
  <c r="H7" i="4" s="1"/>
  <c r="E19" i="4"/>
  <c r="H9" i="4" s="1"/>
  <c r="B12" i="3" s="1"/>
  <c r="I12" i="3" s="1"/>
  <c r="E25" i="4"/>
  <c r="H10" i="4" s="1"/>
  <c r="B13" i="3" s="1"/>
  <c r="E31" i="4"/>
  <c r="H11" i="4" s="1"/>
  <c r="B14" i="3" s="1"/>
  <c r="I14" i="3" s="1"/>
  <c r="E37" i="4"/>
  <c r="H12" i="4" s="1"/>
  <c r="B15" i="3" s="1"/>
  <c r="I15" i="3" s="1"/>
  <c r="E43" i="4"/>
  <c r="H13" i="4" s="1"/>
  <c r="B16" i="3" s="1"/>
  <c r="H16" i="3" s="1"/>
  <c r="E49" i="4"/>
  <c r="H14" i="4" s="1"/>
  <c r="B17" i="3" s="1"/>
  <c r="H17" i="3" s="1"/>
  <c r="E55" i="4"/>
  <c r="H15" i="4" s="1"/>
  <c r="B18" i="3" s="1"/>
  <c r="I18" i="3" s="1"/>
  <c r="E61" i="4"/>
  <c r="H16" i="4" s="1"/>
  <c r="B19" i="3" s="1"/>
  <c r="I19" i="3" s="1"/>
  <c r="E67" i="4"/>
  <c r="H17" i="4" s="1"/>
  <c r="B20" i="3" s="1"/>
  <c r="I20" i="3" s="1"/>
  <c r="E73" i="4"/>
  <c r="H18" i="4" s="1"/>
  <c r="B21" i="3" s="1"/>
  <c r="H21" i="3" s="1"/>
  <c r="E79" i="4"/>
  <c r="H19" i="4" s="1"/>
  <c r="B22" i="3" s="1"/>
  <c r="I22" i="3" s="1"/>
  <c r="E85" i="4"/>
  <c r="H20" i="4" s="1"/>
  <c r="B23" i="3" s="1"/>
  <c r="I23" i="3" s="1"/>
  <c r="E91" i="4"/>
  <c r="H21" i="4" s="1"/>
  <c r="B24" i="3" s="1"/>
  <c r="I24" i="3" s="1"/>
  <c r="L18" i="3"/>
  <c r="L9" i="3"/>
  <c r="K13" i="3"/>
  <c r="L26" i="3"/>
  <c r="L14" i="3"/>
  <c r="K17" i="3"/>
  <c r="K21" i="3"/>
  <c r="L22" i="3"/>
  <c r="L10" i="3"/>
  <c r="K25" i="3"/>
  <c r="H25" i="3"/>
  <c r="K12" i="3"/>
  <c r="K24" i="3"/>
  <c r="L13" i="3"/>
  <c r="K16" i="3"/>
  <c r="L17" i="3"/>
  <c r="L21" i="3"/>
  <c r="I25" i="3"/>
  <c r="L25" i="3"/>
  <c r="K11" i="3"/>
  <c r="L12" i="3"/>
  <c r="K15" i="3"/>
  <c r="L16" i="3"/>
  <c r="K19" i="3"/>
  <c r="L20" i="3"/>
  <c r="K23" i="3"/>
  <c r="L24" i="3"/>
  <c r="K20" i="3"/>
  <c r="K9" i="3"/>
  <c r="K10" i="3"/>
  <c r="L11" i="3"/>
  <c r="K14" i="3"/>
  <c r="L15" i="3"/>
  <c r="K18" i="3"/>
  <c r="L19" i="3"/>
  <c r="K22" i="3"/>
  <c r="L23" i="3"/>
  <c r="K26" i="3"/>
  <c r="D93" i="4"/>
  <c r="K7" i="4"/>
  <c r="I11" i="3" l="1"/>
  <c r="I23" i="4"/>
  <c r="C27" i="3" s="1"/>
  <c r="H24" i="3"/>
  <c r="H22" i="3"/>
  <c r="I21" i="3"/>
  <c r="H20" i="3"/>
  <c r="H18" i="3"/>
  <c r="I17" i="3"/>
  <c r="I16" i="3"/>
  <c r="H14" i="3"/>
  <c r="H13" i="3"/>
  <c r="H12" i="3"/>
  <c r="E93" i="4"/>
  <c r="J23" i="4"/>
  <c r="D27" i="3" s="1"/>
  <c r="D10" i="3"/>
  <c r="H23" i="3"/>
  <c r="H19" i="3"/>
  <c r="H15" i="3"/>
  <c r="L27" i="3"/>
  <c r="B10" i="3"/>
  <c r="H23" i="4"/>
  <c r="B27" i="3" s="1"/>
  <c r="K23" i="4"/>
  <c r="E27" i="3" s="1"/>
  <c r="E10" i="3"/>
  <c r="J21" i="3" l="1"/>
  <c r="J25" i="3"/>
  <c r="J15" i="3"/>
  <c r="J20" i="3"/>
  <c r="J11" i="3"/>
  <c r="J18" i="3"/>
  <c r="J23" i="3"/>
  <c r="J13" i="3"/>
  <c r="J19" i="3"/>
  <c r="H27" i="3"/>
  <c r="J16" i="3"/>
  <c r="J22" i="3"/>
  <c r="J17" i="3"/>
  <c r="J12" i="3"/>
  <c r="J24" i="3"/>
  <c r="I27" i="3"/>
  <c r="J14" i="3"/>
  <c r="J10" i="3"/>
  <c r="H10" i="3"/>
  <c r="I10" i="3"/>
  <c r="A11" i="1" l="1"/>
  <c r="A1" i="3" s="1"/>
  <c r="A8" i="1" l="1"/>
  <c r="A1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D8EB2B-A63F-4BFD-8BA3-4488D9F9CDD1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B26D7D79-B244-4ABA-AFE7-5FAA8CBD2ECF}" keepAlive="1" name="Query - DW Age_Group" description="Connection to the 'DW Age_Group' query in the workbook." type="5" refreshedVersion="0" background="1">
    <dbPr connection="Provider=Microsoft.Mashup.OleDb.1;Data Source=$Workbook$;Location=&quot;DW Age_Group&quot;;Extended Properties=&quot;&quot;" command="SELECT * FROM [DW Age_Group]"/>
  </connection>
  <connection id="3" xr16:uid="{42241C1B-A261-4E27-B732-21F1872DCA39}" keepAlive="1" name="Query - DW Collision_Type" description="Connection to the 'DW Collision_Type' query in the workbook." type="5" refreshedVersion="0" background="1">
    <dbPr connection="Provider=Microsoft.Mashup.OleDb.1;Data Source=$Workbook$;Location=&quot;DW Collision_Type&quot;;Extended Properties=&quot;&quot;" command="SELECT * FROM [DW Collision_Type]"/>
  </connection>
  <connection id="4" xr16:uid="{9C3EE383-58A8-4F96-BDCA-23758EBB9515}" keepAlive="1" name="Query - DW Inattention" description="Connection to the 'DW Inattention' query in the workbook." type="5" refreshedVersion="0" background="1">
    <dbPr connection="Provider=Microsoft.Mashup.OleDb.1;Data Source=$Workbook$;Location=&quot;DW Inattention&quot;;Extended Properties=&quot;&quot;" command="SELECT * FROM [DW Inattention]"/>
  </connection>
  <connection id="5" xr16:uid="{AA6EACE4-0ECE-428D-8143-CAD051CCE994}" keepAlive="1" name="Query - DW Movement_Pre_Collision" description="Connection to the 'DW Movement_Pre_Collision' query in the workbook." type="5" refreshedVersion="0" background="1">
    <dbPr connection="Provider=Microsoft.Mashup.OleDb.1;Data Source=$Workbook$;Location=&quot;DW Movement_Pre_Collision&quot;;Extended Properties=&quot;&quot;" command="SELECT * FROM [DW Movement_Pre_Collision]"/>
  </connection>
  <connection id="6" xr16:uid="{FDF40433-B75A-41B5-AF55-C9A48E3E193F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7" xr16:uid="{04EC2E6D-D516-4051-AA84-1927AEF4B0BC}" keepAlive="1" name="Query - DW Sex" description="Connection to the 'DW Sex' query in the workbook." type="5" refreshedVersion="0" background="1">
    <dbPr connection="Provider=Microsoft.Mashup.OleDb.1;Data Source=$Workbook$;Location=&quot;DW Sex&quot;;Extended Properties=&quot;&quot;" command="SELECT * FROM [DW Sex]"/>
  </connection>
  <connection id="8" xr16:uid="{EA5BA53D-67CE-4A27-B1D9-ADA6CF9E78B6}" keepAlive="1" name="Query - DW Stwd_Vehicle_Type" description="Connection to the 'DW Stwd_Vehicle_Type' query in the workbook." type="5" refreshedVersion="0" background="1">
    <dbPr connection="Provider=Microsoft.Mashup.OleDb.1;Data Source=$Workbook$;Location=&quot;DW Stwd_Vehicle_Type&quot;;Extended Properties=&quot;&quot;" command="SELECT * FROM [DW Stwd_Vehicle_Type]"/>
  </connection>
  <connection id="9" xr16:uid="{4014ADFE-04DA-4BE5-91A0-E9A7FA0E313B}" keepAlive="1" name="Query - DW Time_of_Day" description="Connection to the 'DW Time_of_Day' query in the workbook." type="5" refreshedVersion="0" background="1">
    <dbPr connection="Provider=Microsoft.Mashup.OleDb.1;Data Source=$Workbook$;Location=&quot;DW Time_of_Day&quot;;Extended Properties=&quot;&quot;" command="SELECT * FROM [DW Time_of_Day]"/>
  </connection>
  <connection id="10" xr16:uid="{A8F5ACA6-0F98-4A96-823B-3A871971D286}" keepAlive="1" name="Query - End_year" description="Connection to the 'End_year' query in the workbook." type="5" refreshedVersion="0" background="1">
    <dbPr connection="Provider=Microsoft.Mashup.OleDb.1;Data Source=$Workbook$;Location=End_year;Extended Properties=&quot;&quot;" command="SELECT * FROM [End_year]"/>
  </connection>
  <connection id="11" xr16:uid="{74CE4DDF-B677-4768-8263-E39E1BB01F22}" keepAlive="1" name="Query - Start_year" description="Connection to the 'Start_year' query in the workbook." type="5" refreshedVersion="0" background="1">
    <dbPr connection="Provider=Microsoft.Mashup.OleDb.1;Data Source=$Workbook$;Location=Start_year;Extended Properties=&quot;&quot;" command="SELECT * FROM [Start_year]"/>
  </connection>
  <connection id="12" xr16:uid="{8140650A-C135-4C07-A620-E699BC5A8D40}" keepAlive="1" name="Query - Table 3A" description="Connection to the 'Table 3A' query in the workbook." type="5" refreshedVersion="8" background="1">
    <dbPr connection="Provider=Microsoft.Mashup.OleDb.1;Data Source=$Workbook$;Location=&quot;Table 3A&quot;;Extended Properties=&quot;&quot;" command="SELECT * FROM [Table 3A]"/>
  </connection>
  <connection id="13" xr16:uid="{4D987D04-8E90-4459-9CF9-CD42AC059714}" keepAlive="1" name="Query - Table 3B" description="Connection to the 'Table 3B' query in the workbook." type="5" refreshedVersion="8" background="1">
    <dbPr connection="Provider=Microsoft.Mashup.OleDb.1;Data Source=$Workbook$;Location=&quot;Table 3B&quot;;Extended Properties=&quot;&quot;" command="SELECT * FROM [Table 3B]"/>
  </connection>
  <connection id="14" xr16:uid="{8140650A-C135-4C07-A620-E699BC5A8D40}" keepAlive="1" name="Query - Table 3C" description="Connection to the 'Table 3C' query in the workbook." type="5" refreshedVersion="8" background="1">
    <dbPr connection="Provider=Microsoft.Mashup.OleDb.1;Data Source=$Workbook$;Location=&quot;Table 3C&quot;;Extended Properties=&quot;&quot;" command="SELECT * FROM [Table 3C]"/>
  </connection>
  <connection id="15" xr16:uid="{8140650A-C135-4C07-A620-E699BC5A8D40}" keepAlive="1" name="Query - Table 3D" description="Connection to the 'Table 3D' query in the workbook." type="5" refreshedVersion="8" background="1">
    <dbPr connection="Provider=Microsoft.Mashup.OleDb.1;Data Source=$Workbook$;Location=&quot;Table 3D&quot;;Extended Properties=&quot;&quot;" command="SELECT * FROM [Table 3D]"/>
  </connection>
  <connection id="16" xr16:uid="{5C2796C7-564D-4D31-915C-9E7FD11B4D99}" keepAlive="1" name="Query - Table 3D Chart" description="Connection to the 'Table 3D Chart' query in the workbook." type="5" refreshedVersion="8" background="1">
    <dbPr connection="Provider=Microsoft.Mashup.OleDb.1;Data Source=$Workbook$;Location=&quot;Table 3D Chart&quot;;Extended Properties=&quot;&quot;" command="SELECT * FROM [Table 3D Chart]"/>
  </connection>
  <connection id="17" xr16:uid="{8140650A-C135-4C07-A620-E699BC5A8D40}" keepAlive="1" name="Query - Table 3E" description="Connection to the 'Table 3E' query in the workbook." type="5" refreshedVersion="8" background="1">
    <dbPr connection="Provider=Microsoft.Mashup.OleDb.1;Data Source=$Workbook$;Location=&quot;Table 3E&quot;;Extended Properties=&quot;&quot;" command="SELECT * FROM [Table 3E]"/>
  </connection>
  <connection id="18" xr16:uid="{49590115-BCD4-4F49-9F49-898A03E9D8E6}" keepAlive="1" name="Query - Table 3E Chart" description="Connection to the 'Table 3E Chart' query in the workbook." type="5" refreshedVersion="8" background="1">
    <dbPr connection="Provider=Microsoft.Mashup.OleDb.1;Data Source=$Workbook$;Location=&quot;Table 3E Chart&quot;;Extended Properties=&quot;&quot;" command="SELECT * FROM [Table 3E Chart]"/>
  </connection>
  <connection id="19" xr16:uid="{8140650A-C135-4C07-A620-E699BC5A8D40}" keepAlive="1" name="Query - Table 3F" description="Connection to the 'Table 3F' query in the workbook." type="5" refreshedVersion="8" background="1">
    <dbPr connection="Provider=Microsoft.Mashup.OleDb.1;Data Source=$Workbook$;Location=&quot;Table 3F&quot;;Extended Properties=&quot;&quot;" command="SELECT * FROM [Table 3F]"/>
  </connection>
  <connection id="20" xr16:uid="{8140650A-C135-4C07-A620-E699BC5A8D40}" keepAlive="1" name="Query - Table 3G" description="Connection to the 'Table 3G' query in the workbook." type="5" refreshedVersion="8" background="1">
    <dbPr connection="Provider=Microsoft.Mashup.OleDb.1;Data Source=$Workbook$;Location=&quot;Table 3G&quot;;Extended Properties=&quot;&quot;" command="SELECT * FROM [Table 3G]"/>
  </connection>
  <connection id="21" xr16:uid="{444832C2-16B5-42CF-88D5-E3B3222B6EB2}" keepAlive="1" name="Query - Table 3H" description="Connection to the 'Table 3H' query in the workbook." type="5" refreshedVersion="8" background="1">
    <dbPr connection="Provider=Microsoft.Mashup.OleDb.1;Data Source=$Workbook$;Location=&quot;Table 3H&quot;;Extended Properties=&quot;&quot;" command="SELECT * FROM [Table 3H]"/>
  </connection>
</connections>
</file>

<file path=xl/sharedStrings.xml><?xml version="1.0" encoding="utf-8"?>
<sst xmlns="http://schemas.openxmlformats.org/spreadsheetml/2006/main" count="430" uniqueCount="196">
  <si>
    <t>Emergency vehicle</t>
  </si>
  <si>
    <t>Highway construction equipment</t>
  </si>
  <si>
    <t>Moped</t>
  </si>
  <si>
    <t>Motorcycle/scooter</t>
  </si>
  <si>
    <t>Other</t>
  </si>
  <si>
    <t>Other bus</t>
  </si>
  <si>
    <t>Passenger car</t>
  </si>
  <si>
    <t>Passenger car with trailer</t>
  </si>
  <si>
    <t>Pickup or panel truck</t>
  </si>
  <si>
    <t>Pickup or panel truck with trailer</t>
  </si>
  <si>
    <t>School bus</t>
  </si>
  <si>
    <t>Truck or truck tractor</t>
  </si>
  <si>
    <t>Truck or truck tractor with trailer</t>
  </si>
  <si>
    <t>Crash_year</t>
  </si>
  <si>
    <t>TOTAL</t>
  </si>
  <si>
    <t xml:space="preserve"> </t>
  </si>
  <si>
    <t>Total</t>
  </si>
  <si>
    <t>At Fault</t>
  </si>
  <si>
    <t>Not stated**</t>
  </si>
  <si>
    <t>Licensed</t>
  </si>
  <si>
    <t>Fatal</t>
  </si>
  <si>
    <t>Injury</t>
  </si>
  <si>
    <t>AGE</t>
  </si>
  <si>
    <t>Male</t>
  </si>
  <si>
    <t>Female</t>
  </si>
  <si>
    <t>Non-Binary</t>
  </si>
  <si>
    <t>Drivers</t>
  </si>
  <si>
    <t>Crashes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</si>
  <si>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</si>
  <si>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</si>
  <si>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</si>
  <si>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</si>
  <si>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</si>
  <si>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</si>
  <si>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</si>
  <si>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</si>
  <si>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</si>
  <si>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</si>
  <si>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</si>
  <si>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</si>
  <si>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</si>
  <si>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</si>
  <si>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</si>
  <si>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</si>
  <si>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and over</t>
  </si>
  <si>
    <t>Not Stated</t>
  </si>
  <si>
    <t>Gray areas are manually inputed from DMV DL Age &amp; Gender Report</t>
  </si>
  <si>
    <t>MALE</t>
  </si>
  <si>
    <t>FEMALE</t>
  </si>
  <si>
    <t>NON-BINARY</t>
  </si>
  <si>
    <t>AUTO LOADS INTO TABLE 3B</t>
  </si>
  <si>
    <t>90+</t>
  </si>
  <si>
    <t>AUTO LOADS INTO TABLE 3B AFTER REFRESH</t>
  </si>
  <si>
    <t>Sum of Count</t>
  </si>
  <si>
    <t>Nonbinary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</si>
  <si>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</si>
  <si>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</si>
  <si>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</si>
  <si>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</si>
  <si>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</si>
  <si>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</si>
  <si>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</si>
  <si>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</si>
  <si>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</si>
  <si>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</si>
  <si>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</si>
  <si>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</si>
  <si>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</si>
  <si>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</si>
  <si>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</si>
  <si>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</si>
  <si>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</si>
  <si>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</si>
  <si>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</si>
  <si>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</si>
  <si>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</si>
  <si>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</si>
  <si>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</si>
  <si>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</si>
  <si>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</si>
  <si>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</si>
  <si>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</si>
  <si>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</si>
  <si>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</si>
  <si>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</si>
  <si>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</si>
  <si>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</si>
  <si>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</si>
  <si>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</si>
  <si>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</si>
  <si>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</si>
  <si>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</si>
  <si>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</si>
  <si>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</si>
  <si>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</si>
  <si>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</si>
  <si>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</si>
  <si>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</si>
  <si>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</si>
  <si>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</si>
  <si>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0-19</t>
  </si>
  <si>
    <t>65 and over</t>
  </si>
  <si>
    <t>Midnight - 12:59 A.M.</t>
  </si>
  <si>
    <t>1:00 - 1:59 A.M.</t>
  </si>
  <si>
    <t>2:00 - 2:59 A.M.</t>
  </si>
  <si>
    <t>3:00 - 3:59 A.M.</t>
  </si>
  <si>
    <t>4:00 - 4:59 A.M.</t>
  </si>
  <si>
    <t>5:00 - 5:59 A.M.</t>
  </si>
  <si>
    <t>6:00 - 6:59 A.M.</t>
  </si>
  <si>
    <t>7:00 - 7:59 A.M.</t>
  </si>
  <si>
    <t>8:00 - 8:59 A.M.</t>
  </si>
  <si>
    <t>9:00 - 9:59 A.M.</t>
  </si>
  <si>
    <t>10:00 - 10:59 A.M.</t>
  </si>
  <si>
    <t>11:00 - 11:59 A.M.</t>
  </si>
  <si>
    <t>Noon - 12:59 P.M.</t>
  </si>
  <si>
    <t>1:00 - 1:59 P.M.</t>
  </si>
  <si>
    <t>2:00 - 2:59 P.M.</t>
  </si>
  <si>
    <t>3:00 - 3:59 P.M.</t>
  </si>
  <si>
    <t>4:00 - 4:59 P.M.</t>
  </si>
  <si>
    <t>5:00 - 5:59 P.M.</t>
  </si>
  <si>
    <t>6:00 - 6:59 P.M.</t>
  </si>
  <si>
    <t>7:00 - 7:59 P.M.</t>
  </si>
  <si>
    <t>8:00 - 8:59 P.M.</t>
  </si>
  <si>
    <t>9:00 - 9:59 P.M.</t>
  </si>
  <si>
    <t>10:00 - 10:59 P.M.</t>
  </si>
  <si>
    <t>11:00 - 11:59 P.M.</t>
  </si>
  <si>
    <t>Age Group</t>
  </si>
  <si>
    <t>Start_year</t>
  </si>
  <si>
    <t>End_year</t>
  </si>
  <si>
    <t>Head-On</t>
  </si>
  <si>
    <t>Sideswipe</t>
  </si>
  <si>
    <t>Rear End</t>
  </si>
  <si>
    <t>Broadside</t>
  </si>
  <si>
    <t>Hit Object</t>
  </si>
  <si>
    <t>Overturned</t>
  </si>
  <si>
    <t>Auto/ Pedestrian</t>
  </si>
  <si>
    <t>Stopped</t>
  </si>
  <si>
    <t>Proceeding straight</t>
  </si>
  <si>
    <t>Ran off road</t>
  </si>
  <si>
    <t>Making right turn</t>
  </si>
  <si>
    <t>Making left turn</t>
  </si>
  <si>
    <t>Making U turn</t>
  </si>
  <si>
    <t>Backing</t>
  </si>
  <si>
    <t>Slowing/stopping</t>
  </si>
  <si>
    <t>Passing other vehicle</t>
  </si>
  <si>
    <t>Changing lanes</t>
  </si>
  <si>
    <t>Parking maneuver</t>
  </si>
  <si>
    <t>Entering traffic</t>
  </si>
  <si>
    <t>Other unsafe turning</t>
  </si>
  <si>
    <t>Crossed into opposing lane</t>
  </si>
  <si>
    <t>Parked*</t>
  </si>
  <si>
    <t>Merging</t>
  </si>
  <si>
    <t>Traveling wrong way</t>
  </si>
  <si>
    <t>Not stated</t>
  </si>
  <si>
    <t>*Anomalies are due to re-engineering of SWITRS beginning with 2002 data.</t>
  </si>
  <si>
    <t>Cell Phone Handheld (7/03)</t>
  </si>
  <si>
    <t>Cell Phone Hands Free (7/03)</t>
  </si>
  <si>
    <t>Electronic Equipment</t>
  </si>
  <si>
    <t>Radio/CD</t>
  </si>
  <si>
    <t>Smoking</t>
  </si>
  <si>
    <t>Eating</t>
  </si>
  <si>
    <t>Children</t>
  </si>
  <si>
    <t>Animal</t>
  </si>
  <si>
    <t>Hygiene</t>
  </si>
  <si>
    <t>Reading</t>
  </si>
  <si>
    <t>Cell Phone (prior to 7/03 form rev.)</t>
  </si>
  <si>
    <t>Inattention not stated</t>
  </si>
  <si>
    <t>Table 3D Chart</t>
  </si>
  <si>
    <t>Table 3E Chart</t>
  </si>
  <si>
    <t>TOTALS</t>
  </si>
  <si>
    <t>Title 3A</t>
  </si>
  <si>
    <t>Title 3B</t>
  </si>
  <si>
    <t>Title 3C</t>
  </si>
  <si>
    <t>Title 3D</t>
  </si>
  <si>
    <t>Title 3E</t>
  </si>
  <si>
    <t>Title 3F</t>
  </si>
  <si>
    <t>Title 3G</t>
  </si>
  <si>
    <t>Title 3H</t>
  </si>
  <si>
    <t>*May be under reported for non-CHP agencies due to a traffic crash report form revision July 2003.  (See Preface for details.)</t>
  </si>
  <si>
    <t>**May be over reported for non-CHP agencies due to a traffic crash report form revision July 2003.  (See Preface for details.)</t>
  </si>
  <si>
    <t>Unknown hour</t>
  </si>
  <si>
    <t>Percent At Fault</t>
  </si>
  <si>
    <t>Drivers in Fatal Crashes</t>
  </si>
  <si>
    <t>Drivers in Injury Crashes</t>
  </si>
  <si>
    <t>Statewide Vehicle Type*</t>
  </si>
  <si>
    <t>Drivers in Crashes</t>
  </si>
  <si>
    <t>Licensed Drivers</t>
  </si>
  <si>
    <t>Per 10,000</t>
  </si>
  <si>
    <t xml:space="preserve">     Percent of Total Drivers</t>
  </si>
  <si>
    <t>Age</t>
  </si>
  <si>
    <t>Hour of Day</t>
  </si>
  <si>
    <t>A.M. Total</t>
  </si>
  <si>
    <t>P.M. Total</t>
  </si>
  <si>
    <t>Movement Preceding Crash</t>
  </si>
  <si>
    <t>Inattention</t>
  </si>
  <si>
    <t>Lane splitting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</si>
</sst>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name val="Arial"/>
      <family val="2"/>
    </font>
    <font>
      <i/>
      <sz val="10"/>
      <name val="Tahoma"/>
      <family val="2"/>
    </font>
    <font>
      <i/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4"/>
      <name val="Tahoma"/>
      <family val="2"/>
    </font>
    <font>
      <sz val="16"/>
      <name val="Tahoma"/>
      <family val="2"/>
    </font>
    <font>
      <sz val="10"/>
      <name val="Segoe UI"/>
      <family val="2"/>
    </font>
    <font>
      <b/>
      <sz val="12"/>
      <name val="Tahoma"/>
      <family val="2"/>
    </font>
    <font>
      <sz val="12"/>
      <name val="Tahoma"/>
      <family val="2"/>
    </font>
    <font>
      <sz val="12"/>
      <name val="Segoe UI"/>
      <family val="2"/>
    </font>
    <font>
      <b/>
      <sz val="11"/>
      <color indexed="8"/>
      <name val="Calibri"/>
      <family val="2"/>
    </font>
    <font>
      <b/>
      <sz val="10"/>
      <name val="Segoe UI"/>
      <family val="2"/>
    </font>
    <font>
      <sz val="11"/>
      <color indexed="10"/>
      <name val="Calibri"/>
      <family val="2"/>
    </font>
    <font>
      <b/>
      <sz val="11"/>
      <color indexed="17"/>
      <name val="Calibri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6">
    <xf numFmtId="0" fontId="0" fillId="0" borderId="0" xfId="0"/>
    <xf numFmtId="0" fontId="1" fillId="0" borderId="0" xfId="0" applyFont="1"/>
    <xf numFmtId="0" fontId="3" fillId="0" borderId="0" xfId="1" applyFont="1"/>
    <xf numFmtId="0" fontId="4" fillId="0" borderId="0" xfId="0" applyFont="1"/>
    <xf numFmtId="0" fontId="6" fillId="0" borderId="0" xfId="1" applyFont="1" applyAlignment="1">
      <alignment vertical="center"/>
    </xf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Continuous"/>
    </xf>
    <xf numFmtId="0" fontId="10" fillId="0" borderId="0" xfId="1" applyFont="1"/>
    <xf numFmtId="0" fontId="9" fillId="0" borderId="2" xfId="1" applyFont="1" applyBorder="1" applyAlignment="1">
      <alignment horizontal="centerContinuous"/>
    </xf>
    <xf numFmtId="0" fontId="11" fillId="0" borderId="1" xfId="1" applyFont="1" applyBorder="1"/>
    <xf numFmtId="0" fontId="11" fillId="0" borderId="3" xfId="1" applyFont="1" applyBorder="1"/>
    <xf numFmtId="3" fontId="9" fillId="0" borderId="4" xfId="1" applyNumberFormat="1" applyFont="1" applyBorder="1" applyAlignment="1">
      <alignment horizontal="centerContinuous"/>
    </xf>
    <xf numFmtId="3" fontId="10" fillId="0" borderId="5" xfId="1" applyNumberFormat="1" applyFont="1" applyBorder="1" applyAlignment="1">
      <alignment horizontal="centerContinuous"/>
    </xf>
    <xf numFmtId="0" fontId="11" fillId="0" borderId="6" xfId="1" applyFont="1" applyBorder="1"/>
    <xf numFmtId="0" fontId="10" fillId="0" borderId="1" xfId="1" applyFont="1" applyBorder="1" applyAlignment="1">
      <alignment horizontal="centerContinuous"/>
    </xf>
    <xf numFmtId="3" fontId="9" fillId="0" borderId="7" xfId="1" applyNumberFormat="1" applyFont="1" applyBorder="1" applyAlignment="1">
      <alignment horizontal="centerContinuous"/>
    </xf>
    <xf numFmtId="3" fontId="10" fillId="0" borderId="8" xfId="1" applyNumberFormat="1" applyFont="1" applyBorder="1" applyAlignment="1">
      <alignment horizontal="centerContinuous"/>
    </xf>
    <xf numFmtId="165" fontId="9" fillId="0" borderId="5" xfId="1" applyNumberFormat="1" applyFont="1" applyBorder="1"/>
    <xf numFmtId="0" fontId="11" fillId="0" borderId="2" xfId="1" applyFont="1" applyBorder="1"/>
    <xf numFmtId="0" fontId="11" fillId="0" borderId="9" xfId="1" applyFont="1" applyBorder="1"/>
    <xf numFmtId="0" fontId="11" fillId="0" borderId="7" xfId="1" applyFont="1" applyBorder="1"/>
    <xf numFmtId="0" fontId="9" fillId="0" borderId="1" xfId="1" applyFont="1" applyBorder="1"/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3" fontId="10" fillId="0" borderId="1" xfId="1" applyNumberFormat="1" applyFont="1" applyBorder="1"/>
    <xf numFmtId="3" fontId="10" fillId="0" borderId="1" xfId="1" applyNumberFormat="1" applyFont="1" applyBorder="1" applyAlignment="1">
      <alignment horizontal="right"/>
    </xf>
    <xf numFmtId="3" fontId="10" fillId="0" borderId="9" xfId="1" applyNumberFormat="1" applyFont="1" applyBorder="1" applyAlignment="1">
      <alignment horizontal="right"/>
    </xf>
    <xf numFmtId="165" fontId="10" fillId="0" borderId="1" xfId="1" applyNumberFormat="1" applyFont="1" applyBorder="1"/>
    <xf numFmtId="165" fontId="10" fillId="0" borderId="9" xfId="1" applyNumberFormat="1" applyFont="1" applyBorder="1"/>
    <xf numFmtId="165" fontId="10" fillId="0" borderId="1" xfId="1" applyNumberFormat="1" applyFont="1" applyBorder="1" applyAlignment="1">
      <alignment horizontal="right"/>
    </xf>
    <xf numFmtId="0" fontId="8" fillId="2" borderId="0" xfId="1" applyFont="1" applyFill="1"/>
    <xf numFmtId="0" fontId="12" fillId="0" borderId="1" xfId="1" applyFont="1" applyBorder="1" applyAlignment="1">
      <alignment horizontal="center"/>
    </xf>
    <xf numFmtId="3" fontId="12" fillId="0" borderId="1" xfId="1" applyNumberFormat="1" applyFont="1" applyBorder="1" applyAlignment="1">
      <alignment horizontal="center"/>
    </xf>
    <xf numFmtId="0" fontId="2" fillId="0" borderId="10" xfId="1" applyBorder="1"/>
    <xf numFmtId="3" fontId="2" fillId="3" borderId="1" xfId="1" applyNumberFormat="1" applyFill="1" applyBorder="1"/>
    <xf numFmtId="0" fontId="14" fillId="0" borderId="1" xfId="1" applyFont="1" applyBorder="1"/>
    <xf numFmtId="3" fontId="14" fillId="0" borderId="1" xfId="1" applyNumberFormat="1" applyFont="1" applyBorder="1"/>
    <xf numFmtId="0" fontId="2" fillId="0" borderId="9" xfId="1" applyBorder="1"/>
    <xf numFmtId="0" fontId="2" fillId="0" borderId="0" xfId="1"/>
    <xf numFmtId="3" fontId="15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0" fillId="0" borderId="1" xfId="0" pivotButton="1" applyBorder="1"/>
    <xf numFmtId="0" fontId="0" fillId="0" borderId="1" xfId="0" applyBorder="1"/>
    <xf numFmtId="0" fontId="3" fillId="0" borderId="0" xfId="2" applyFont="1"/>
    <xf numFmtId="3" fontId="10" fillId="0" borderId="3" xfId="1" applyNumberFormat="1" applyFont="1" applyBorder="1" applyAlignment="1">
      <alignment horizontal="right"/>
    </xf>
    <xf numFmtId="165" fontId="10" fillId="0" borderId="9" xfId="1" applyNumberFormat="1" applyFont="1" applyBorder="1" applyAlignment="1">
      <alignment horizontal="right"/>
    </xf>
    <xf numFmtId="165" fontId="10" fillId="0" borderId="8" xfId="1" applyNumberFormat="1" applyFont="1" applyBorder="1" applyAlignment="1">
      <alignment horizontal="right"/>
    </xf>
    <xf numFmtId="165" fontId="10" fillId="0" borderId="2" xfId="1" applyNumberFormat="1" applyFont="1" applyBorder="1" applyAlignment="1">
      <alignment horizontal="right"/>
    </xf>
    <xf numFmtId="165" fontId="10" fillId="0" borderId="5" xfId="1" applyNumberFormat="1" applyFont="1" applyBorder="1" applyAlignment="1">
      <alignment horizontal="right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3" fontId="8" fillId="0" borderId="1" xfId="1" applyNumberFormat="1" applyFont="1" applyBorder="1"/>
    <xf numFmtId="0" fontId="16" fillId="0" borderId="1" xfId="0" applyFont="1" applyBorder="1"/>
    <xf numFmtId="0" fontId="16" fillId="0" borderId="1" xfId="0" pivotButton="1" applyFont="1" applyBorder="1"/>
    <xf numFmtId="0" fontId="16" fillId="0" borderId="1" xfId="0" applyFont="1" applyBorder="1" applyAlignment="1">
      <alignment horizontal="left"/>
    </xf>
    <xf numFmtId="3" fontId="16" fillId="0" borderId="1" xfId="0" applyNumberFormat="1" applyFont="1" applyBorder="1"/>
    <xf numFmtId="0" fontId="16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17" fillId="0" borderId="1" xfId="0" pivotButton="1" applyFont="1" applyBorder="1"/>
    <xf numFmtId="0" fontId="17" fillId="0" borderId="1" xfId="0" applyFont="1" applyBorder="1" applyAlignment="1">
      <alignment horizontal="right"/>
    </xf>
    <xf numFmtId="0" fontId="17" fillId="0" borderId="1" xfId="0" applyFont="1" applyBorder="1"/>
    <xf numFmtId="0" fontId="16" fillId="0" borderId="1" xfId="0" applyFont="1" applyBorder="1" applyAlignment="1">
      <alignment horizontal="right" wrapText="1"/>
    </xf>
    <xf numFmtId="0" fontId="17" fillId="0" borderId="1" xfId="0" pivotButton="1" applyFont="1" applyBorder="1" applyAlignment="1">
      <alignment horizontal="right"/>
    </xf>
    <xf numFmtId="0" fontId="17" fillId="0" borderId="1" xfId="0" applyFont="1" applyBorder="1" applyAlignment="1">
      <alignment horizontal="right" wrapText="1"/>
    </xf>
    <xf numFmtId="0" fontId="17" fillId="0" borderId="1" xfId="0" pivotButton="1" applyFont="1" applyBorder="1" applyAlignment="1">
      <alignment horizontal="left"/>
    </xf>
    <xf numFmtId="164" fontId="16" fillId="0" borderId="1" xfId="0" applyNumberFormat="1" applyFont="1" applyBorder="1"/>
    <xf numFmtId="0" fontId="18" fillId="0" borderId="1" xfId="0" applyFont="1" applyBorder="1"/>
    <xf numFmtId="0" fontId="17" fillId="0" borderId="0" xfId="0" applyFont="1" applyAlignment="1">
      <alignment horizontal="left"/>
    </xf>
    <xf numFmtId="3" fontId="16" fillId="0" borderId="0" xfId="0" applyNumberFormat="1" applyFont="1"/>
    <xf numFmtId="0" fontId="5" fillId="2" borderId="0" xfId="0" applyFont="1" applyFill="1" applyAlignment="1">
      <alignment horizontal="left"/>
    </xf>
    <xf numFmtId="0" fontId="13" fillId="2" borderId="3" xfId="1" applyFont="1" applyFill="1" applyBorder="1" applyAlignment="1">
      <alignment horizontal="center"/>
    </xf>
    <xf numFmtId="0" fontId="13" fillId="2" borderId="11" xfId="1" applyFont="1" applyFill="1" applyBorder="1" applyAlignment="1">
      <alignment horizontal="center"/>
    </xf>
    <xf numFmtId="0" fontId="13" fillId="2" borderId="6" xfId="1" applyFont="1" applyFill="1" applyBorder="1" applyAlignment="1">
      <alignment horizontal="center"/>
    </xf>
  </cellXfs>
  <cellStyles count="3">
    <cellStyle name="Normal" xfId="0" builtinId="0"/>
    <cellStyle name="Normal 2 3" xfId="1" xr:uid="{584EAB7E-3760-452B-9AEB-49520C064AB9}"/>
    <cellStyle name="Normal 3 2" xfId="2" xr:uid="{D8D9AB39-79D1-46C8-8900-A708D496E48B}"/>
  </cellStyles>
  <dxfs count="327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  <family val="2"/>
      </font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alignment horizontal="right"/>
    </dxf>
    <dxf>
      <alignment horizontal="right"/>
    </dxf>
    <dxf>
      <alignment wrapText="1"/>
    </dxf>
    <dxf>
      <numFmt numFmtId="3" formatCode="#,##0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alignment wrapText="1"/>
    </dxf>
    <dxf>
      <alignment horizontal="right"/>
    </dxf>
    <dxf>
      <alignment horizontal="right"/>
    </dxf>
    <dxf>
      <numFmt numFmtId="3" formatCode="#,##0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3" formatCode="#,##0"/>
    </dxf>
    <dxf>
      <alignment horizontal="right"/>
    </dxf>
    <dxf>
      <alignment horizontal="right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alignment horizontal="right"/>
    </dxf>
    <dxf>
      <alignment horizontal="right"/>
    </dxf>
    <dxf>
      <font>
        <b val="0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 val="0"/>
      </font>
    </dxf>
    <dxf>
      <alignment horizontal="left"/>
    </dxf>
    <dxf>
      <alignment horizontal="left"/>
    </dxf>
    <dxf>
      <alignment horizontal="right"/>
    </dxf>
    <dxf>
      <fill>
        <patternFill patternType="none">
          <bgColor auto="1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</font>
    </dxf>
    <dxf>
      <font>
        <b/>
      </font>
    </dxf>
    <dxf>
      <font>
        <b/>
      </font>
    </dxf>
    <dxf>
      <alignment wrapText="1"/>
    </dxf>
    <dxf>
      <alignment wrapText="1"/>
    </dxf>
    <dxf>
      <font>
        <b/>
      </font>
    </dxf>
    <dxf>
      <font>
        <b val="0"/>
      </font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numFmt numFmtId="164" formatCode="0.0%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color theme="1"/>
      </font>
      <border>
        <horizontal style="thin">
          <color theme="0" tint="-0.14999847407452621"/>
        </horizontal>
      </border>
    </dxf>
  </dxfs>
  <tableStyles count="4" defaultTableStyle="TableStyleMedium2" defaultPivotStyle="PivotStyleLight16">
    <tableStyle name="ADA" table="0" count="5" xr9:uid="{6BC77A54-B2BD-498E-B81D-789F81D0087E}">
      <tableStyleElement type="wholeTable" dxfId="326"/>
      <tableStyleElement type="firstRowStripe" dxfId="325"/>
      <tableStyleElement type="firstColumnStripe" dxfId="324"/>
      <tableStyleElement type="pageFieldLabels" dxfId="323"/>
      <tableStyleElement type="pageFieldValues" dxfId="322"/>
    </tableStyle>
    <tableStyle name="PivotStyleLight1 2" table="0" count="10" xr9:uid="{2BE7E63E-6D43-40D0-842B-DCDE36E77268}">
      <tableStyleElement type="headerRow" dxfId="321"/>
      <tableStyleElement type="totalRow" dxfId="320"/>
      <tableStyleElement type="firstRowStripe" dxfId="319"/>
      <tableStyleElement type="firstColumnStripe" dxfId="318"/>
      <tableStyleElement type="firstSubtotalRow" dxfId="317"/>
      <tableStyleElement type="secondSubtotalRow" dxfId="316"/>
      <tableStyleElement type="firstRowSubheading" dxfId="315"/>
      <tableStyleElement type="secondRowSubheading" dxfId="314"/>
      <tableStyleElement type="pageFieldLabels" dxfId="313"/>
      <tableStyleElement type="pageFieldValues" dxfId="312"/>
    </tableStyle>
    <tableStyle name="PivotStyleLight1 3" table="0" count="10" xr9:uid="{215B81E5-5664-4A75-AB0D-1689BD5DAF9E}">
      <tableStyleElement type="wholeTable" dxfId="311"/>
      <tableStyleElement type="headerRow" dxfId="310"/>
      <tableStyleElement type="firstRowStripe" dxfId="309"/>
      <tableStyleElement type="firstColumnStripe" dxfId="308"/>
      <tableStyleElement type="firstSubtotalRow" dxfId="307"/>
      <tableStyleElement type="secondSubtotalRow" dxfId="306"/>
      <tableStyleElement type="firstRowSubheading" dxfId="305"/>
      <tableStyleElement type="secondRowSubheading" dxfId="304"/>
      <tableStyleElement type="pageFieldLabels" dxfId="303"/>
      <tableStyleElement type="pageFieldValues" dxfId="302"/>
    </tableStyle>
    <tableStyle name="PivotStyleLight1 4" table="0" count="10" xr9:uid="{DBEB308E-D4C7-4F43-B14B-4E6AFA9D8E6A}">
      <tableStyleElement type="wholeTable" dxfId="301"/>
      <tableStyleElement type="headerRow" dxfId="300"/>
      <tableStyleElement type="firstRowStripe" dxfId="299"/>
      <tableStyleElement type="firstColumnStripe" dxfId="298"/>
      <tableStyleElement type="firstSubtotalRow" dxfId="297"/>
      <tableStyleElement type="secondSubtotalRow" dxfId="296"/>
      <tableStyleElement type="firstRowSubheading" dxfId="295"/>
      <tableStyleElement type="secondRowSubheading" dxfId="294"/>
      <tableStyleElement type="pageFieldLabels" dxfId="293"/>
      <tableStyleElement type="pageFieldValues" dxfId="29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pivotCacheDefinition" Target="pivotCache/pivotCacheDefinition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pivotCacheDefinition" Target="pivotCache/pivotCacheDefinition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6.xml"/><Relationship Id="rId20" Type="http://schemas.openxmlformats.org/officeDocument/2006/relationships/pivotCacheDefinition" Target="pivotCache/pivotCacheDefinition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Relationship Id="rId22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[7-Section Three 2021.xlsx]Parameters!PivotTable2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DRIVERS IN FATAL CRASHES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Parameters!$B$43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Parameters!$A$44:$A$56</c:f>
              <c:strCache>
                <c:ptCount val="12"/>
                <c:pt idx="0">
                  <c:v>0-19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and over</c:v>
                </c:pt>
                <c:pt idx="11">
                  <c:v>Not stated</c:v>
                </c:pt>
              </c:strCache>
            </c:strRef>
          </c:cat>
          <c:val>
            <c:numRef>
              <c:f>Parameters!$B$44:$B$56</c:f>
              <c:numCache>
                <c:formatCode>#,##0</c:formatCode>
                <c:ptCount val="12"/>
                <c:pt idx="0">
                  <c:v>356</c:v>
                </c:pt>
                <c:pt idx="1">
                  <c:v>805</c:v>
                </c:pt>
                <c:pt idx="2">
                  <c:v>793</c:v>
                </c:pt>
                <c:pt idx="3">
                  <c:v>697</c:v>
                </c:pt>
                <c:pt idx="4">
                  <c:v>610</c:v>
                </c:pt>
                <c:pt idx="5">
                  <c:v>464</c:v>
                </c:pt>
                <c:pt idx="6">
                  <c:v>410</c:v>
                </c:pt>
                <c:pt idx="7">
                  <c:v>501</c:v>
                </c:pt>
                <c:pt idx="8">
                  <c:v>433</c:v>
                </c:pt>
                <c:pt idx="9">
                  <c:v>377</c:v>
                </c:pt>
                <c:pt idx="10">
                  <c:v>589</c:v>
                </c:pt>
                <c:pt idx="11">
                  <c:v>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5F-47CA-B331-0FCB2535C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5762888"/>
        <c:axId val="1245763872"/>
      </c:barChart>
      <c:catAx>
        <c:axId val="1245762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763872"/>
        <c:crosses val="autoZero"/>
        <c:auto val="1"/>
        <c:lblAlgn val="ctr"/>
        <c:lblOffset val="100"/>
        <c:noMultiLvlLbl val="0"/>
      </c:catAx>
      <c:valAx>
        <c:axId val="124576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762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[7-Section Three 2021.xlsx]Parameters!PivotTable3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DRIVERS IN INJURY CRASHES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Parameters!$B$62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Parameters!$A$63:$A$75</c:f>
              <c:strCache>
                <c:ptCount val="12"/>
                <c:pt idx="0">
                  <c:v>0-19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and over</c:v>
                </c:pt>
                <c:pt idx="11">
                  <c:v>Not stated</c:v>
                </c:pt>
              </c:strCache>
            </c:strRef>
          </c:cat>
          <c:val>
            <c:numRef>
              <c:f>Parameters!$B$63:$B$75</c:f>
              <c:numCache>
                <c:formatCode>#,##0</c:formatCode>
                <c:ptCount val="12"/>
                <c:pt idx="0">
                  <c:v>18049</c:v>
                </c:pt>
                <c:pt idx="1">
                  <c:v>37885</c:v>
                </c:pt>
                <c:pt idx="2">
                  <c:v>36891</c:v>
                </c:pt>
                <c:pt idx="3">
                  <c:v>32446</c:v>
                </c:pt>
                <c:pt idx="4">
                  <c:v>26856</c:v>
                </c:pt>
                <c:pt idx="5">
                  <c:v>23226</c:v>
                </c:pt>
                <c:pt idx="6">
                  <c:v>20075</c:v>
                </c:pt>
                <c:pt idx="7">
                  <c:v>19590</c:v>
                </c:pt>
                <c:pt idx="8">
                  <c:v>17788</c:v>
                </c:pt>
                <c:pt idx="9">
                  <c:v>14421</c:v>
                </c:pt>
                <c:pt idx="10">
                  <c:v>24719</c:v>
                </c:pt>
                <c:pt idx="11">
                  <c:v>17072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7-4D47-B59F-63639E9A5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7703240"/>
        <c:axId val="887695368"/>
      </c:barChart>
      <c:catAx>
        <c:axId val="887703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695368"/>
        <c:crosses val="autoZero"/>
        <c:auto val="1"/>
        <c:lblAlgn val="ctr"/>
        <c:lblOffset val="100"/>
        <c:noMultiLvlLbl val="0"/>
      </c:catAx>
      <c:valAx>
        <c:axId val="88769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703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14287</xdr:rowOff>
    </xdr:from>
    <xdr:to>
      <xdr:col>13</xdr:col>
      <xdr:colOff>600075</xdr:colOff>
      <xdr:row>57</xdr:row>
      <xdr:rowOff>180975</xdr:rowOff>
    </xdr:to>
    <xdr:graphicFrame macro="">
      <xdr:nvGraphicFramePr>
        <xdr:cNvPr id="3" name="Chart 1" descr="Bar graph for Drivers in Fatal Crashes by Age 2021">
          <a:extLst>
            <a:ext uri="{FF2B5EF4-FFF2-40B4-BE49-F238E27FC236}">
              <a16:creationId xmlns:a16="http://schemas.microsoft.com/office/drawing/2014/main" id="{C953FAF8-CE24-443A-B10B-7457F7D63C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</xdr:rowOff>
    </xdr:from>
    <xdr:to>
      <xdr:col>14</xdr:col>
      <xdr:colOff>0</xdr:colOff>
      <xdr:row>58</xdr:row>
      <xdr:rowOff>180975</xdr:rowOff>
    </xdr:to>
    <xdr:graphicFrame macro="">
      <xdr:nvGraphicFramePr>
        <xdr:cNvPr id="3" name="Chart 2" descr="Bar graph for Drivers in Injury Crashes by Age 2021">
          <a:extLst>
            <a:ext uri="{FF2B5EF4-FFF2-40B4-BE49-F238E27FC236}">
              <a16:creationId xmlns:a16="http://schemas.microsoft.com/office/drawing/2014/main" id="{C9441858-26CD-4273-AE8F-E8B950A08E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5601849" backgroundQuery="1" missingItemsLimit="0" createdVersion="6" refreshedVersion="8" minRefreshableVersion="3" recordCount="106" xr:uid="{5C648FD7-291F-483F-9816-5F69E163292D}">
  <cacheSource type="external" connectionId="21"/>
  <cacheFields count="4">
    <cacheField name="Collision_Year" numFmtId="0">
      <sharedItems containsSemiMixedTypes="0" containsString="0" containsNumber="1" containsInteger="1" minValue="2017" maxValue="2021" count="5">
        <n v="2017"/>
        <n v="2019"/>
        <n v="2020"/>
        <n v="2021"/>
        <n v="2018"/>
      </sharedItems>
    </cacheField>
    <cacheField name="Severity_Group_1" numFmtId="0">
      <sharedItems count="2">
        <s v="Fatal"/>
        <s v="Injury"/>
      </sharedItems>
    </cacheField>
    <cacheField name="Inattention.1" numFmtId="0">
      <sharedItems count="13">
        <s v="Cell Phone Hands Free (7/03)"/>
        <s v="Cell Phone (prior to 7/03 form rev.)"/>
        <s v="Eating"/>
        <s v="Smoking"/>
        <s v="Animal"/>
        <s v="Electronic Equipment"/>
        <s v="Reading"/>
        <s v="Inattention not stated"/>
        <s v="Radio/CD"/>
        <s v="Cell Phone Handheld (7/03)"/>
        <s v="Children"/>
        <s v="Other"/>
        <s v="Hygiene"/>
      </sharedItems>
    </cacheField>
    <cacheField name="Count" numFmtId="0">
      <sharedItems containsSemiMixedTypes="0" containsString="0" containsNumber="1" containsInteger="1" minValue="1" maxValue="55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652778" backgroundQuery="1" createdVersion="6" refreshedVersion="8" minRefreshableVersion="3" recordCount="36" xr:uid="{7A0864D0-1CDC-49CE-B67A-BAD258CEDA7B}">
  <cacheSource type="external" connectionId="13"/>
  <cacheFields count="3">
    <cacheField name="Severity_Group_1" numFmtId="0">
      <sharedItems count="2">
        <s v="Fatal"/>
        <s v="Injury"/>
      </sharedItems>
    </cacheField>
    <cacheField name="Age_Group_8" numFmtId="0">
      <sharedItems count="18">
        <s v="0-14"/>
        <s v="15-19"/>
        <s v="20-24"/>
        <s v="25-29"/>
        <s v="30-34"/>
        <s v="35-39"/>
        <s v="40-44"/>
        <s v="45-49"/>
        <s v="50-54"/>
        <s v="55-59"/>
        <s v="60-64"/>
        <s v="65-69"/>
        <s v="70-74"/>
        <s v="75-79"/>
        <s v="80-84"/>
        <s v="85-89"/>
        <s v="90 and over"/>
        <s v="Not Stated"/>
      </sharedItems>
    </cacheField>
    <cacheField name="Count" numFmtId="0">
      <sharedItems containsSemiMixedTypes="0" containsString="0" containsNumber="1" containsInteger="1" minValue="11" maxValue="378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7337965" backgroundQuery="1" createdVersion="6" refreshedVersion="8" minRefreshableVersion="3" recordCount="300" xr:uid="{6077B9A4-3266-43DE-A39A-D80B216EB8A8}">
  <cacheSource type="external" connectionId="15"/>
  <cacheFields count="4">
    <cacheField name="AM_PM" numFmtId="0">
      <sharedItems count="3">
        <s v="A.M."/>
        <s v="P.M."/>
        <s v="Unknown AM/PM"/>
      </sharedItems>
    </cacheField>
    <cacheField name="Hour_Group_2" numFmtId="0">
      <sharedItems count="25">
        <s v="Midnight - 12:59 A.M."/>
        <s v="9:00 - 9:59 A.M."/>
        <s v="3:00 - 3:59 A.M."/>
        <s v="5:00 - 5:59 P.M."/>
        <s v="1:00 - 1:59 P.M."/>
        <s v="11:00 - 11:59 P.M."/>
        <s v="7:00 - 7:59 A.M."/>
        <s v="Noon - 12:59 P.M."/>
        <s v="6:00 - 6:59 P.M."/>
        <s v="8:00 - 8:59 P.M."/>
        <s v="8:00 - 8:59 A.M."/>
        <s v="4:00 - 4:59 P.M."/>
        <s v="4:00 - 4:59 A.M."/>
        <s v="11:00 - 11:59 A.M."/>
        <s v="5:00 - 5:59 A.M."/>
        <s v="9:00 - 9:59 P.M."/>
        <s v="10:00 - 10:59 A.M."/>
        <s v="3:00 - 3:59 P.M."/>
        <s v="7:00 - 7:59 P.M."/>
        <s v="2:00 - 2:59 A.M."/>
        <s v="10:00 - 10:59 P.M."/>
        <s v="2:00 - 2:59 P.M."/>
        <s v="1:00 - 1:59 A.M."/>
        <s v="Unknown Hour"/>
        <s v="6:00 - 6:59 A.M."/>
      </sharedItems>
    </cacheField>
    <cacheField name="Age_Group_4" numFmtId="0">
      <sharedItems count="12">
        <s v="50-54"/>
        <s v="55-59"/>
        <s v="0-19"/>
        <s v="40-44"/>
        <s v="30-34"/>
        <s v="60-64"/>
        <s v="35-39"/>
        <s v="25-29"/>
        <s v="45-49"/>
        <s v="Not Stated"/>
        <s v="65 and over"/>
        <s v="20-24"/>
      </sharedItems>
    </cacheField>
    <cacheField name="Count" numFmtId="0">
      <sharedItems containsSemiMixedTypes="0" containsString="0" containsNumber="1" containsInteger="1" minValue="1" maxValue="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7916666" backgroundQuery="1" createdVersion="6" refreshedVersion="8" minRefreshableVersion="3" recordCount="300" xr:uid="{6D27E747-C35F-4EF6-892A-3A0FD54A54AC}">
  <cacheSource type="external" connectionId="17"/>
  <cacheFields count="4">
    <cacheField name="AM_PM" numFmtId="0">
      <sharedItems count="3">
        <s v="A.M."/>
        <s v="P.M."/>
        <s v="Unknown AM/PM"/>
      </sharedItems>
    </cacheField>
    <cacheField name="Hour_Group_2" numFmtId="0">
      <sharedItems count="25">
        <s v="1:00 - 1:59 A.M."/>
        <s v="10:00 - 10:59 A.M."/>
        <s v="11:00 - 11:59 A.M."/>
        <s v="2:00 - 2:59 A.M."/>
        <s v="3:00 - 3:59 A.M."/>
        <s v="4:00 - 4:59 A.M."/>
        <s v="5:00 - 5:59 A.M."/>
        <s v="6:00 - 6:59 A.M."/>
        <s v="7:00 - 7:59 A.M."/>
        <s v="8:00 - 8:59 A.M."/>
        <s v="10:00 - 10:59 P.M."/>
        <s v="11:00 - 11:59 P.M."/>
        <s v="2:00 - 2:59 P.M."/>
        <s v="4:00 - 4:59 P.M."/>
        <s v="5:00 - 5:59 P.M."/>
        <s v="6:00 - 6:59 P.M."/>
        <s v="7:00 - 7:59 P.M."/>
        <s v="8:00 - 8:59 P.M."/>
        <s v="9:00 - 9:59 P.M."/>
        <s v="Unknown Hour"/>
        <s v="9:00 - 9:59 A.M."/>
        <s v="1:00 - 1:59 P.M."/>
        <s v="3:00 - 3:59 P.M."/>
        <s v="Noon - 12:59 P.M."/>
        <s v="Midnight - 12:59 A.M."/>
      </sharedItems>
    </cacheField>
    <cacheField name="Age_Group_4" numFmtId="0">
      <sharedItems count="12">
        <s v="20-24"/>
        <s v="50-54"/>
        <s v="Not Stated"/>
        <s v="0-19"/>
        <s v="25-29"/>
        <s v="45-49"/>
        <s v="35-39"/>
        <s v="60-64"/>
        <s v="65 and over"/>
        <s v="55-59"/>
        <s v="30-34"/>
        <s v="40-44"/>
      </sharedItems>
    </cacheField>
    <cacheField name="Count" numFmtId="0">
      <sharedItems containsSemiMixedTypes="0" containsString="0" containsNumber="1" containsInteger="1" minValue="18" maxValue="305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8379628" backgroundQuery="1" createdVersion="6" refreshedVersion="8" minRefreshableVersion="3" recordCount="126" xr:uid="{C9A2C453-92E4-45A3-B83C-F1AC5BC573C3}">
  <cacheSource type="external" connectionId="19"/>
  <cacheFields count="3">
    <cacheField name="Move_Pre_Collision" numFmtId="0">
      <sharedItems count="20">
        <s v="Changing lanes"/>
        <s v="Making U turn"/>
        <s v="Passing other vehicle"/>
        <s v="Slowing/stopping"/>
        <s v="Entering traffic"/>
        <s v="Traveling wrong way"/>
        <s v="Backing"/>
        <s v="Crossed into opposing lane"/>
        <s v="Making left turn"/>
        <s v="Other"/>
        <s v="Ran off road"/>
        <s v="Not stated"/>
        <s v="Parked"/>
        <s v="Merging"/>
        <s v="Other unsafe turning"/>
        <s v="Stopped"/>
        <s v="Making right turn"/>
        <s v="Proceeding straight"/>
        <s v="Lane splitting"/>
        <s v="Parking maneuver"/>
      </sharedItems>
    </cacheField>
    <cacheField name="Collision_Type_2" numFmtId="0">
      <sharedItems count="8">
        <s v="Broadside"/>
        <s v="Head-On"/>
        <s v="Other"/>
        <s v="Overturned"/>
        <s v="Rear End"/>
        <s v="Sideswipe"/>
        <s v="Auto/ Pedestrian"/>
        <s v="Hit Object"/>
      </sharedItems>
    </cacheField>
    <cacheField name="Count" numFmtId="0">
      <sharedItems containsSemiMixedTypes="0" containsString="0" containsNumber="1" containsInteger="1" minValue="1" maxValue="10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8958336" backgroundQuery="1" createdVersion="6" refreshedVersion="8" minRefreshableVersion="3" recordCount="12" xr:uid="{FAC4DBC5-7814-4577-98C1-A9B01F0ED767}">
  <cacheSource type="external" connectionId="16"/>
  <cacheFields count="2">
    <cacheField name="Age_Group_4" numFmtId="0">
      <sharedItems count="12">
        <s v="0-19"/>
        <s v="20-24"/>
        <s v="25-29"/>
        <s v="30-34"/>
        <s v="35-39"/>
        <s v="40-44"/>
        <s v="45-49"/>
        <s v="50-54"/>
        <s v="55-59"/>
        <s v="60-64"/>
        <s v="65 and over"/>
        <s v="Not Stated"/>
      </sharedItems>
    </cacheField>
    <cacheField name="Count" numFmtId="0">
      <sharedItems containsSemiMixedTypes="0" containsString="0" containsNumber="1" containsInteger="1" minValue="332" maxValue="805" count="12">
        <n v="356"/>
        <n v="805"/>
        <n v="793"/>
        <n v="697"/>
        <n v="610"/>
        <n v="464"/>
        <n v="410"/>
        <n v="501"/>
        <n v="433"/>
        <n v="377"/>
        <n v="589"/>
        <n v="33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9421297" backgroundQuery="1" createdVersion="6" refreshedVersion="8" minRefreshableVersion="3" recordCount="12" xr:uid="{2B0E9864-CE30-4DFA-A272-DC54F44C7F54}">
  <cacheSource type="external" connectionId="18"/>
  <cacheFields count="2">
    <cacheField name="Age_Group_4" numFmtId="0">
      <sharedItems count="12">
        <s v="0-19"/>
        <s v="20-24"/>
        <s v="25-29"/>
        <s v="30-34"/>
        <s v="35-39"/>
        <s v="40-44"/>
        <s v="45-49"/>
        <s v="50-54"/>
        <s v="55-59"/>
        <s v="60-64"/>
        <s v="65 and over"/>
        <s v="Not Stated"/>
      </sharedItems>
    </cacheField>
    <cacheField name="Count" numFmtId="0">
      <sharedItems containsSemiMixedTypes="0" containsString="0" containsNumber="1" containsInteger="1" minValue="14421" maxValue="37885" count="12">
        <n v="18049"/>
        <n v="37885"/>
        <n v="36891"/>
        <n v="32446"/>
        <n v="26856"/>
        <n v="23226"/>
        <n v="20075"/>
        <n v="19590"/>
        <n v="17788"/>
        <n v="14421"/>
        <n v="24719"/>
        <n v="1707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340949999998" backgroundQuery="1" createdVersion="6" refreshedVersion="8" minRefreshableVersion="3" recordCount="291" xr:uid="{9B0082AD-FE89-4116-AD95-80F22EB67164}">
  <cacheSource type="external" connectionId="14"/>
  <cacheFields count="5">
    <cacheField name="Severity_Group_1" numFmtId="0">
      <sharedItems count="2">
        <s v="Fatal"/>
        <s v="Injury"/>
      </sharedItems>
    </cacheField>
    <cacheField name="Sex" numFmtId="0">
      <sharedItems containsBlank="1" count="5">
        <s v="Male"/>
        <s v="Female"/>
        <s v="Nonbinary"/>
        <s v="Not Stated"/>
        <m u="1"/>
      </sharedItems>
    </cacheField>
    <cacheField name="Age_Group_3" numFmtId="0">
      <sharedItems count="54">
        <s v="48"/>
        <s v="59"/>
        <s v="17"/>
        <s v="42"/>
        <s v="85-89"/>
        <s v="23"/>
        <s v="29"/>
        <s v="24"/>
        <s v="34"/>
        <s v="45"/>
        <s v="54"/>
        <s v="Not Stated"/>
        <s v="22"/>
        <s v="36"/>
        <s v="52"/>
        <s v="80-84"/>
        <s v="21"/>
        <s v="37"/>
        <s v="57"/>
        <s v="20"/>
        <s v="39"/>
        <s v="49"/>
        <s v="58"/>
        <s v="60-64"/>
        <s v="75-79"/>
        <s v="90 and over"/>
        <s v="19"/>
        <s v="35"/>
        <s v="40"/>
        <s v="51"/>
        <s v="15"/>
        <s v="44"/>
        <s v="55"/>
        <s v="27"/>
        <s v="31"/>
        <s v="26"/>
        <s v="32"/>
        <s v="38"/>
        <s v="70-74"/>
        <s v="28"/>
        <s v="0-14"/>
        <s v="16"/>
        <s v="18"/>
        <s v="50"/>
        <s v="43"/>
        <s v="56"/>
        <s v="47"/>
        <s v="53"/>
        <s v="30"/>
        <s v="41"/>
        <s v="25"/>
        <s v="33"/>
        <s v="46"/>
        <s v="65-69"/>
      </sharedItems>
    </cacheField>
    <cacheField name="Sum of Total" numFmtId="0">
      <sharedItems containsSemiMixedTypes="0" containsString="0" containsNumber="1" containsInteger="1" minValue="1" maxValue="13002"/>
    </cacheField>
    <cacheField name="Sum of At Fault" numFmtId="0">
      <sharedItems containsSemiMixedTypes="0" containsString="0" containsNumber="1" containsInteger="1" minValue="0" maxValue="102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468374537035" backgroundQuery="1" missingItemsLimit="0" createdVersion="6" refreshedVersion="8" minRefreshableVersion="3" recordCount="28" xr:uid="{6CEAB818-6B90-406F-A173-645EEBFCE303}">
  <cacheSource type="external" connectionId="12"/>
  <cacheFields count="5">
    <cacheField name="Stwd_Vehicle_Type" numFmtId="0">
      <sharedItems count="14">
        <s v="Emergency vehicle"/>
        <s v="Highway construction equipment"/>
        <s v="Moped"/>
        <s v="Motorcycle/scooter"/>
        <s v="Not stated"/>
        <s v="Other"/>
        <s v="Other bus"/>
        <s v="Passenger car"/>
        <s v="Passenger car with trailer"/>
        <s v="Pickup or panel truck"/>
        <s v="Pickup or panel truck with trailer"/>
        <s v="School bus"/>
        <s v="Truck or truck tractor"/>
        <s v="Truck or truck tractor with trailer"/>
      </sharedItems>
    </cacheField>
    <cacheField name="Severity_Group_1" numFmtId="0">
      <sharedItems count="2">
        <s v="Fatal"/>
        <s v="Injury"/>
      </sharedItems>
    </cacheField>
    <cacheField name="Total" numFmtId="0">
      <sharedItems containsSemiMixedTypes="0" containsString="0" containsNumber="1" containsInteger="1" minValue="2" maxValue="220553" count="27">
        <n v="8"/>
        <n v="2"/>
        <n v="4"/>
        <n v="634"/>
        <n v="283"/>
        <n v="35"/>
        <n v="21"/>
        <n v="4068"/>
        <n v="13"/>
        <n v="884"/>
        <n v="34"/>
        <n v="3"/>
        <n v="121"/>
        <n v="257"/>
        <n v="1133"/>
        <n v="79"/>
        <n v="11190"/>
        <n v="14775"/>
        <n v="635"/>
        <n v="1145"/>
        <n v="220553"/>
        <n v="419"/>
        <n v="30361"/>
        <n v="1150"/>
        <n v="131"/>
        <n v="3477"/>
        <n v="3935"/>
      </sharedItems>
    </cacheField>
    <cacheField name="At Fault" numFmtId="0">
      <sharedItems containsString="0" containsBlank="1" containsNumber="1" containsInteger="1" minValue="2" maxValue="105676" count="26">
        <n v="2"/>
        <m/>
        <n v="4"/>
        <n v="438"/>
        <n v="84"/>
        <n v="23"/>
        <n v="2036"/>
        <n v="7"/>
        <n v="434"/>
        <n v="12"/>
        <n v="38"/>
        <n v="51"/>
        <n v="463"/>
        <n v="9"/>
        <n v="48"/>
        <n v="6425"/>
        <n v="9193"/>
        <n v="345"/>
        <n v="386"/>
        <n v="105676"/>
        <n v="220"/>
        <n v="15040"/>
        <n v="529"/>
        <n v="30"/>
        <n v="1624"/>
        <n v="1375"/>
      </sharedItems>
    </cacheField>
    <cacheField name="Field1" numFmtId="0" formula="IFERROR('At Fault'/Total,0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486108449077" backgroundQuery="1" missingItemsLimit="0" createdVersion="6" refreshedVersion="8" minRefreshableVersion="3" recordCount="159" xr:uid="{2CAD26AB-1E44-4446-BC65-476AE394F0B6}">
  <cacheSource type="external" connectionId="20"/>
  <cacheFields count="3">
    <cacheField name="Move_Pre_Collision" numFmtId="0">
      <sharedItems count="20">
        <s v="Changing lanes"/>
        <s v="Lane splitting"/>
        <s v="Making U turn"/>
        <s v="Passing other vehicle"/>
        <s v="Slowing/stopping"/>
        <s v="Entering traffic"/>
        <s v="Traveling wrong way"/>
        <s v="Backing"/>
        <s v="Crossed into opposing lane"/>
        <s v="Making left turn"/>
        <s v="Other"/>
        <s v="Parking maneuver"/>
        <s v="Proceeding straight"/>
        <s v="Making right turn"/>
        <s v="Merging"/>
        <s v="Other unsafe turning"/>
        <s v="Stopped"/>
        <s v="Ran off road"/>
        <s v="Parked"/>
        <s v="Not stated"/>
      </sharedItems>
    </cacheField>
    <cacheField name="Collision_Type_2" numFmtId="0">
      <sharedItems count="8">
        <s v="Broadside"/>
        <s v="Head-On"/>
        <s v="Other"/>
        <s v="Overturned"/>
        <s v="Rear End"/>
        <s v="Sideswipe"/>
        <s v="Auto/ Pedestrian"/>
        <s v="Hit Object"/>
      </sharedItems>
    </cacheField>
    <cacheField name="Count" numFmtId="0">
      <sharedItems containsSemiMixedTypes="0" containsString="0" containsNumber="1" containsInteger="1" minValue="1" maxValue="557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6">
  <r>
    <x v="0"/>
    <x v="0"/>
    <x v="0"/>
    <n v="4"/>
  </r>
  <r>
    <x v="0"/>
    <x v="1"/>
    <x v="1"/>
    <n v="1"/>
  </r>
  <r>
    <x v="0"/>
    <x v="1"/>
    <x v="2"/>
    <n v="304"/>
  </r>
  <r>
    <x v="0"/>
    <x v="1"/>
    <x v="3"/>
    <n v="53"/>
  </r>
  <r>
    <x v="1"/>
    <x v="0"/>
    <x v="4"/>
    <n v="1"/>
  </r>
  <r>
    <x v="1"/>
    <x v="0"/>
    <x v="5"/>
    <n v="7"/>
  </r>
  <r>
    <x v="1"/>
    <x v="1"/>
    <x v="4"/>
    <n v="92"/>
  </r>
  <r>
    <x v="1"/>
    <x v="1"/>
    <x v="0"/>
    <n v="233"/>
  </r>
  <r>
    <x v="1"/>
    <x v="1"/>
    <x v="5"/>
    <n v="219"/>
  </r>
  <r>
    <x v="1"/>
    <x v="1"/>
    <x v="6"/>
    <n v="23"/>
  </r>
  <r>
    <x v="2"/>
    <x v="0"/>
    <x v="7"/>
    <n v="16"/>
  </r>
  <r>
    <x v="2"/>
    <x v="1"/>
    <x v="8"/>
    <n v="241"/>
  </r>
  <r>
    <x v="3"/>
    <x v="0"/>
    <x v="8"/>
    <n v="4"/>
  </r>
  <r>
    <x v="3"/>
    <x v="1"/>
    <x v="9"/>
    <n v="609"/>
  </r>
  <r>
    <x v="0"/>
    <x v="0"/>
    <x v="8"/>
    <n v="5"/>
  </r>
  <r>
    <x v="4"/>
    <x v="0"/>
    <x v="9"/>
    <n v="10"/>
  </r>
  <r>
    <x v="4"/>
    <x v="0"/>
    <x v="8"/>
    <n v="5"/>
  </r>
  <r>
    <x v="4"/>
    <x v="1"/>
    <x v="10"/>
    <n v="238"/>
  </r>
  <r>
    <x v="1"/>
    <x v="0"/>
    <x v="9"/>
    <n v="17"/>
  </r>
  <r>
    <x v="1"/>
    <x v="0"/>
    <x v="11"/>
    <n v="42"/>
  </r>
  <r>
    <x v="1"/>
    <x v="1"/>
    <x v="10"/>
    <n v="221"/>
  </r>
  <r>
    <x v="2"/>
    <x v="0"/>
    <x v="11"/>
    <n v="22"/>
  </r>
  <r>
    <x v="2"/>
    <x v="1"/>
    <x v="12"/>
    <n v="19"/>
  </r>
  <r>
    <x v="0"/>
    <x v="0"/>
    <x v="10"/>
    <n v="4"/>
  </r>
  <r>
    <x v="0"/>
    <x v="0"/>
    <x v="7"/>
    <n v="37"/>
  </r>
  <r>
    <x v="4"/>
    <x v="0"/>
    <x v="5"/>
    <n v="4"/>
  </r>
  <r>
    <x v="4"/>
    <x v="1"/>
    <x v="2"/>
    <n v="276"/>
  </r>
  <r>
    <x v="4"/>
    <x v="1"/>
    <x v="6"/>
    <n v="24"/>
  </r>
  <r>
    <x v="4"/>
    <x v="1"/>
    <x v="3"/>
    <n v="39"/>
  </r>
  <r>
    <x v="1"/>
    <x v="0"/>
    <x v="7"/>
    <n v="22"/>
  </r>
  <r>
    <x v="1"/>
    <x v="1"/>
    <x v="11"/>
    <n v="2433"/>
  </r>
  <r>
    <x v="2"/>
    <x v="0"/>
    <x v="8"/>
    <n v="2"/>
  </r>
  <r>
    <x v="2"/>
    <x v="1"/>
    <x v="0"/>
    <n v="182"/>
  </r>
  <r>
    <x v="2"/>
    <x v="1"/>
    <x v="2"/>
    <n v="175"/>
  </r>
  <r>
    <x v="2"/>
    <x v="1"/>
    <x v="5"/>
    <n v="152"/>
  </r>
  <r>
    <x v="2"/>
    <x v="1"/>
    <x v="3"/>
    <n v="41"/>
  </r>
  <r>
    <x v="3"/>
    <x v="0"/>
    <x v="2"/>
    <n v="5"/>
  </r>
  <r>
    <x v="3"/>
    <x v="1"/>
    <x v="11"/>
    <n v="1918"/>
  </r>
  <r>
    <x v="0"/>
    <x v="0"/>
    <x v="2"/>
    <n v="4"/>
  </r>
  <r>
    <x v="0"/>
    <x v="1"/>
    <x v="9"/>
    <n v="706"/>
  </r>
  <r>
    <x v="0"/>
    <x v="1"/>
    <x v="11"/>
    <n v="2956"/>
  </r>
  <r>
    <x v="4"/>
    <x v="1"/>
    <x v="5"/>
    <n v="262"/>
  </r>
  <r>
    <x v="4"/>
    <x v="1"/>
    <x v="7"/>
    <n v="5284"/>
  </r>
  <r>
    <x v="1"/>
    <x v="0"/>
    <x v="0"/>
    <n v="2"/>
  </r>
  <r>
    <x v="1"/>
    <x v="0"/>
    <x v="2"/>
    <n v="5"/>
  </r>
  <r>
    <x v="2"/>
    <x v="1"/>
    <x v="7"/>
    <n v="3314"/>
  </r>
  <r>
    <x v="3"/>
    <x v="0"/>
    <x v="4"/>
    <n v="1"/>
  </r>
  <r>
    <x v="3"/>
    <x v="0"/>
    <x v="0"/>
    <n v="4"/>
  </r>
  <r>
    <x v="3"/>
    <x v="0"/>
    <x v="10"/>
    <n v="1"/>
  </r>
  <r>
    <x v="3"/>
    <x v="1"/>
    <x v="4"/>
    <n v="102"/>
  </r>
  <r>
    <x v="3"/>
    <x v="1"/>
    <x v="1"/>
    <n v="1"/>
  </r>
  <r>
    <x v="0"/>
    <x v="0"/>
    <x v="4"/>
    <n v="1"/>
  </r>
  <r>
    <x v="0"/>
    <x v="0"/>
    <x v="9"/>
    <n v="27"/>
  </r>
  <r>
    <x v="0"/>
    <x v="1"/>
    <x v="4"/>
    <n v="96"/>
  </r>
  <r>
    <x v="0"/>
    <x v="1"/>
    <x v="7"/>
    <n v="5509"/>
  </r>
  <r>
    <x v="0"/>
    <x v="1"/>
    <x v="6"/>
    <n v="27"/>
  </r>
  <r>
    <x v="4"/>
    <x v="0"/>
    <x v="10"/>
    <n v="4"/>
  </r>
  <r>
    <x v="4"/>
    <x v="0"/>
    <x v="7"/>
    <n v="22"/>
  </r>
  <r>
    <x v="4"/>
    <x v="1"/>
    <x v="12"/>
    <n v="23"/>
  </r>
  <r>
    <x v="4"/>
    <x v="1"/>
    <x v="8"/>
    <n v="424"/>
  </r>
  <r>
    <x v="1"/>
    <x v="1"/>
    <x v="9"/>
    <n v="607"/>
  </r>
  <r>
    <x v="1"/>
    <x v="1"/>
    <x v="2"/>
    <n v="225"/>
  </r>
  <r>
    <x v="1"/>
    <x v="1"/>
    <x v="3"/>
    <n v="46"/>
  </r>
  <r>
    <x v="2"/>
    <x v="0"/>
    <x v="2"/>
    <n v="3"/>
  </r>
  <r>
    <x v="2"/>
    <x v="0"/>
    <x v="3"/>
    <n v="1"/>
  </r>
  <r>
    <x v="2"/>
    <x v="1"/>
    <x v="11"/>
    <n v="1555"/>
  </r>
  <r>
    <x v="3"/>
    <x v="0"/>
    <x v="5"/>
    <n v="4"/>
  </r>
  <r>
    <x v="3"/>
    <x v="1"/>
    <x v="0"/>
    <n v="256"/>
  </r>
  <r>
    <x v="3"/>
    <x v="1"/>
    <x v="5"/>
    <n v="196"/>
  </r>
  <r>
    <x v="0"/>
    <x v="0"/>
    <x v="5"/>
    <n v="3"/>
  </r>
  <r>
    <x v="0"/>
    <x v="1"/>
    <x v="5"/>
    <n v="277"/>
  </r>
  <r>
    <x v="4"/>
    <x v="0"/>
    <x v="0"/>
    <n v="6"/>
  </r>
  <r>
    <x v="4"/>
    <x v="0"/>
    <x v="2"/>
    <n v="2"/>
  </r>
  <r>
    <x v="4"/>
    <x v="0"/>
    <x v="3"/>
    <n v="1"/>
  </r>
  <r>
    <x v="4"/>
    <x v="1"/>
    <x v="1"/>
    <n v="1"/>
  </r>
  <r>
    <x v="4"/>
    <x v="1"/>
    <x v="9"/>
    <n v="706"/>
  </r>
  <r>
    <x v="4"/>
    <x v="1"/>
    <x v="11"/>
    <n v="2822"/>
  </r>
  <r>
    <x v="1"/>
    <x v="1"/>
    <x v="7"/>
    <n v="4802"/>
  </r>
  <r>
    <x v="2"/>
    <x v="0"/>
    <x v="0"/>
    <n v="3"/>
  </r>
  <r>
    <x v="2"/>
    <x v="0"/>
    <x v="10"/>
    <n v="2"/>
  </r>
  <r>
    <x v="3"/>
    <x v="1"/>
    <x v="2"/>
    <n v="200"/>
  </r>
  <r>
    <x v="3"/>
    <x v="1"/>
    <x v="7"/>
    <n v="2679"/>
  </r>
  <r>
    <x v="3"/>
    <x v="1"/>
    <x v="3"/>
    <n v="38"/>
  </r>
  <r>
    <x v="0"/>
    <x v="0"/>
    <x v="11"/>
    <n v="33"/>
  </r>
  <r>
    <x v="0"/>
    <x v="1"/>
    <x v="12"/>
    <n v="39"/>
  </r>
  <r>
    <x v="0"/>
    <x v="1"/>
    <x v="8"/>
    <n v="491"/>
  </r>
  <r>
    <x v="4"/>
    <x v="1"/>
    <x v="4"/>
    <n v="104"/>
  </r>
  <r>
    <x v="1"/>
    <x v="1"/>
    <x v="12"/>
    <n v="30"/>
  </r>
  <r>
    <x v="1"/>
    <x v="1"/>
    <x v="8"/>
    <n v="341"/>
  </r>
  <r>
    <x v="2"/>
    <x v="1"/>
    <x v="4"/>
    <n v="83"/>
  </r>
  <r>
    <x v="2"/>
    <x v="1"/>
    <x v="9"/>
    <n v="570"/>
  </r>
  <r>
    <x v="3"/>
    <x v="1"/>
    <x v="10"/>
    <n v="200"/>
  </r>
  <r>
    <x v="0"/>
    <x v="1"/>
    <x v="0"/>
    <n v="194"/>
  </r>
  <r>
    <x v="0"/>
    <x v="1"/>
    <x v="10"/>
    <n v="249"/>
  </r>
  <r>
    <x v="4"/>
    <x v="0"/>
    <x v="11"/>
    <n v="36"/>
  </r>
  <r>
    <x v="4"/>
    <x v="1"/>
    <x v="0"/>
    <n v="238"/>
  </r>
  <r>
    <x v="1"/>
    <x v="0"/>
    <x v="8"/>
    <n v="3"/>
  </r>
  <r>
    <x v="2"/>
    <x v="0"/>
    <x v="9"/>
    <n v="13"/>
  </r>
  <r>
    <x v="2"/>
    <x v="1"/>
    <x v="10"/>
    <n v="118"/>
  </r>
  <r>
    <x v="2"/>
    <x v="1"/>
    <x v="6"/>
    <n v="8"/>
  </r>
  <r>
    <x v="3"/>
    <x v="0"/>
    <x v="9"/>
    <n v="18"/>
  </r>
  <r>
    <x v="3"/>
    <x v="0"/>
    <x v="7"/>
    <n v="17"/>
  </r>
  <r>
    <x v="3"/>
    <x v="0"/>
    <x v="11"/>
    <n v="35"/>
  </r>
  <r>
    <x v="3"/>
    <x v="1"/>
    <x v="12"/>
    <n v="29"/>
  </r>
  <r>
    <x v="3"/>
    <x v="1"/>
    <x v="8"/>
    <n v="225"/>
  </r>
  <r>
    <x v="3"/>
    <x v="1"/>
    <x v="6"/>
    <n v="1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n v="11"/>
  </r>
  <r>
    <x v="1"/>
    <x v="0"/>
    <n v="365"/>
  </r>
  <r>
    <x v="0"/>
    <x v="1"/>
    <n v="345"/>
  </r>
  <r>
    <x v="1"/>
    <x v="1"/>
    <n v="17684"/>
  </r>
  <r>
    <x v="0"/>
    <x v="2"/>
    <n v="805"/>
  </r>
  <r>
    <x v="1"/>
    <x v="2"/>
    <n v="37885"/>
  </r>
  <r>
    <x v="0"/>
    <x v="3"/>
    <n v="793"/>
  </r>
  <r>
    <x v="1"/>
    <x v="3"/>
    <n v="36891"/>
  </r>
  <r>
    <x v="0"/>
    <x v="4"/>
    <n v="697"/>
  </r>
  <r>
    <x v="1"/>
    <x v="4"/>
    <n v="32446"/>
  </r>
  <r>
    <x v="0"/>
    <x v="5"/>
    <n v="610"/>
  </r>
  <r>
    <x v="1"/>
    <x v="5"/>
    <n v="26856"/>
  </r>
  <r>
    <x v="0"/>
    <x v="6"/>
    <n v="464"/>
  </r>
  <r>
    <x v="1"/>
    <x v="6"/>
    <n v="23226"/>
  </r>
  <r>
    <x v="0"/>
    <x v="7"/>
    <n v="410"/>
  </r>
  <r>
    <x v="1"/>
    <x v="7"/>
    <n v="20075"/>
  </r>
  <r>
    <x v="0"/>
    <x v="8"/>
    <n v="501"/>
  </r>
  <r>
    <x v="1"/>
    <x v="8"/>
    <n v="19590"/>
  </r>
  <r>
    <x v="0"/>
    <x v="9"/>
    <n v="433"/>
  </r>
  <r>
    <x v="1"/>
    <x v="9"/>
    <n v="17788"/>
  </r>
  <r>
    <x v="0"/>
    <x v="10"/>
    <n v="377"/>
  </r>
  <r>
    <x v="1"/>
    <x v="10"/>
    <n v="14421"/>
  </r>
  <r>
    <x v="0"/>
    <x v="11"/>
    <n v="228"/>
  </r>
  <r>
    <x v="1"/>
    <x v="11"/>
    <n v="10161"/>
  </r>
  <r>
    <x v="0"/>
    <x v="12"/>
    <n v="156"/>
  </r>
  <r>
    <x v="1"/>
    <x v="12"/>
    <n v="6792"/>
  </r>
  <r>
    <x v="0"/>
    <x v="13"/>
    <n v="96"/>
  </r>
  <r>
    <x v="1"/>
    <x v="13"/>
    <n v="4049"/>
  </r>
  <r>
    <x v="0"/>
    <x v="14"/>
    <n v="62"/>
  </r>
  <r>
    <x v="1"/>
    <x v="14"/>
    <n v="2257"/>
  </r>
  <r>
    <x v="0"/>
    <x v="15"/>
    <n v="34"/>
  </r>
  <r>
    <x v="1"/>
    <x v="15"/>
    <n v="1035"/>
  </r>
  <r>
    <x v="0"/>
    <x v="16"/>
    <n v="13"/>
  </r>
  <r>
    <x v="1"/>
    <x v="16"/>
    <n v="425"/>
  </r>
  <r>
    <x v="0"/>
    <x v="17"/>
    <n v="332"/>
  </r>
  <r>
    <x v="1"/>
    <x v="17"/>
    <n v="1707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">
  <r>
    <x v="0"/>
    <x v="0"/>
    <x v="0"/>
    <n v="13"/>
  </r>
  <r>
    <x v="0"/>
    <x v="1"/>
    <x v="1"/>
    <n v="11"/>
  </r>
  <r>
    <x v="0"/>
    <x v="2"/>
    <x v="2"/>
    <n v="14"/>
  </r>
  <r>
    <x v="1"/>
    <x v="3"/>
    <x v="3"/>
    <n v="34"/>
  </r>
  <r>
    <x v="1"/>
    <x v="4"/>
    <x v="0"/>
    <n v="21"/>
  </r>
  <r>
    <x v="1"/>
    <x v="5"/>
    <x v="4"/>
    <n v="47"/>
  </r>
  <r>
    <x v="0"/>
    <x v="6"/>
    <x v="2"/>
    <n v="8"/>
  </r>
  <r>
    <x v="1"/>
    <x v="7"/>
    <x v="1"/>
    <n v="14"/>
  </r>
  <r>
    <x v="1"/>
    <x v="8"/>
    <x v="5"/>
    <n v="22"/>
  </r>
  <r>
    <x v="1"/>
    <x v="9"/>
    <x v="6"/>
    <n v="37"/>
  </r>
  <r>
    <x v="0"/>
    <x v="6"/>
    <x v="7"/>
    <n v="19"/>
  </r>
  <r>
    <x v="0"/>
    <x v="10"/>
    <x v="7"/>
    <n v="15"/>
  </r>
  <r>
    <x v="1"/>
    <x v="11"/>
    <x v="0"/>
    <n v="22"/>
  </r>
  <r>
    <x v="0"/>
    <x v="12"/>
    <x v="4"/>
    <n v="25"/>
  </r>
  <r>
    <x v="0"/>
    <x v="13"/>
    <x v="7"/>
    <n v="23"/>
  </r>
  <r>
    <x v="0"/>
    <x v="14"/>
    <x v="3"/>
    <n v="16"/>
  </r>
  <r>
    <x v="1"/>
    <x v="15"/>
    <x v="2"/>
    <n v="21"/>
  </r>
  <r>
    <x v="1"/>
    <x v="7"/>
    <x v="0"/>
    <n v="13"/>
  </r>
  <r>
    <x v="0"/>
    <x v="16"/>
    <x v="3"/>
    <n v="8"/>
  </r>
  <r>
    <x v="1"/>
    <x v="8"/>
    <x v="4"/>
    <n v="39"/>
  </r>
  <r>
    <x v="1"/>
    <x v="17"/>
    <x v="0"/>
    <n v="29"/>
  </r>
  <r>
    <x v="1"/>
    <x v="18"/>
    <x v="0"/>
    <n v="22"/>
  </r>
  <r>
    <x v="0"/>
    <x v="19"/>
    <x v="5"/>
    <n v="9"/>
  </r>
  <r>
    <x v="1"/>
    <x v="18"/>
    <x v="8"/>
    <n v="25"/>
  </r>
  <r>
    <x v="1"/>
    <x v="5"/>
    <x v="9"/>
    <n v="23"/>
  </r>
  <r>
    <x v="1"/>
    <x v="5"/>
    <x v="10"/>
    <n v="7"/>
  </r>
  <r>
    <x v="1"/>
    <x v="5"/>
    <x v="11"/>
    <n v="54"/>
  </r>
  <r>
    <x v="0"/>
    <x v="12"/>
    <x v="3"/>
    <n v="17"/>
  </r>
  <r>
    <x v="1"/>
    <x v="20"/>
    <x v="3"/>
    <n v="27"/>
  </r>
  <r>
    <x v="0"/>
    <x v="1"/>
    <x v="5"/>
    <n v="13"/>
  </r>
  <r>
    <x v="1"/>
    <x v="21"/>
    <x v="8"/>
    <n v="24"/>
  </r>
  <r>
    <x v="0"/>
    <x v="12"/>
    <x v="5"/>
    <n v="15"/>
  </r>
  <r>
    <x v="0"/>
    <x v="1"/>
    <x v="9"/>
    <n v="2"/>
  </r>
  <r>
    <x v="1"/>
    <x v="15"/>
    <x v="3"/>
    <n v="31"/>
  </r>
  <r>
    <x v="1"/>
    <x v="17"/>
    <x v="1"/>
    <n v="23"/>
  </r>
  <r>
    <x v="1"/>
    <x v="11"/>
    <x v="1"/>
    <n v="24"/>
  </r>
  <r>
    <x v="0"/>
    <x v="19"/>
    <x v="1"/>
    <n v="12"/>
  </r>
  <r>
    <x v="0"/>
    <x v="1"/>
    <x v="4"/>
    <n v="9"/>
  </r>
  <r>
    <x v="1"/>
    <x v="4"/>
    <x v="2"/>
    <n v="7"/>
  </r>
  <r>
    <x v="1"/>
    <x v="4"/>
    <x v="3"/>
    <n v="18"/>
  </r>
  <r>
    <x v="1"/>
    <x v="11"/>
    <x v="5"/>
    <n v="30"/>
  </r>
  <r>
    <x v="1"/>
    <x v="11"/>
    <x v="10"/>
    <n v="40"/>
  </r>
  <r>
    <x v="0"/>
    <x v="12"/>
    <x v="1"/>
    <n v="15"/>
  </r>
  <r>
    <x v="1"/>
    <x v="7"/>
    <x v="7"/>
    <n v="22"/>
  </r>
  <r>
    <x v="0"/>
    <x v="22"/>
    <x v="3"/>
    <n v="15"/>
  </r>
  <r>
    <x v="0"/>
    <x v="0"/>
    <x v="3"/>
    <n v="22"/>
  </r>
  <r>
    <x v="1"/>
    <x v="3"/>
    <x v="10"/>
    <n v="45"/>
  </r>
  <r>
    <x v="0"/>
    <x v="14"/>
    <x v="8"/>
    <n v="12"/>
  </r>
  <r>
    <x v="1"/>
    <x v="3"/>
    <x v="8"/>
    <n v="19"/>
  </r>
  <r>
    <x v="0"/>
    <x v="2"/>
    <x v="8"/>
    <n v="9"/>
  </r>
  <r>
    <x v="0"/>
    <x v="10"/>
    <x v="1"/>
    <n v="8"/>
  </r>
  <r>
    <x v="1"/>
    <x v="17"/>
    <x v="5"/>
    <n v="18"/>
  </r>
  <r>
    <x v="1"/>
    <x v="20"/>
    <x v="7"/>
    <n v="53"/>
  </r>
  <r>
    <x v="0"/>
    <x v="13"/>
    <x v="1"/>
    <n v="9"/>
  </r>
  <r>
    <x v="0"/>
    <x v="22"/>
    <x v="6"/>
    <n v="30"/>
  </r>
  <r>
    <x v="1"/>
    <x v="21"/>
    <x v="11"/>
    <n v="34"/>
  </r>
  <r>
    <x v="1"/>
    <x v="4"/>
    <x v="7"/>
    <n v="18"/>
  </r>
  <r>
    <x v="1"/>
    <x v="21"/>
    <x v="10"/>
    <n v="50"/>
  </r>
  <r>
    <x v="1"/>
    <x v="8"/>
    <x v="1"/>
    <n v="33"/>
  </r>
  <r>
    <x v="0"/>
    <x v="16"/>
    <x v="0"/>
    <n v="17"/>
  </r>
  <r>
    <x v="1"/>
    <x v="15"/>
    <x v="8"/>
    <n v="30"/>
  </r>
  <r>
    <x v="1"/>
    <x v="5"/>
    <x v="8"/>
    <n v="18"/>
  </r>
  <r>
    <x v="0"/>
    <x v="10"/>
    <x v="3"/>
    <n v="8"/>
  </r>
  <r>
    <x v="0"/>
    <x v="0"/>
    <x v="7"/>
    <n v="39"/>
  </r>
  <r>
    <x v="0"/>
    <x v="13"/>
    <x v="3"/>
    <n v="18"/>
  </r>
  <r>
    <x v="0"/>
    <x v="19"/>
    <x v="4"/>
    <n v="40"/>
  </r>
  <r>
    <x v="0"/>
    <x v="6"/>
    <x v="0"/>
    <n v="18"/>
  </r>
  <r>
    <x v="1"/>
    <x v="21"/>
    <x v="9"/>
    <n v="3"/>
  </r>
  <r>
    <x v="0"/>
    <x v="22"/>
    <x v="1"/>
    <n v="5"/>
  </r>
  <r>
    <x v="2"/>
    <x v="23"/>
    <x v="5"/>
    <n v="4"/>
  </r>
  <r>
    <x v="0"/>
    <x v="1"/>
    <x v="6"/>
    <n v="7"/>
  </r>
  <r>
    <x v="0"/>
    <x v="2"/>
    <x v="6"/>
    <n v="25"/>
  </r>
  <r>
    <x v="1"/>
    <x v="4"/>
    <x v="8"/>
    <n v="23"/>
  </r>
  <r>
    <x v="1"/>
    <x v="5"/>
    <x v="7"/>
    <n v="30"/>
  </r>
  <r>
    <x v="1"/>
    <x v="11"/>
    <x v="6"/>
    <n v="21"/>
  </r>
  <r>
    <x v="0"/>
    <x v="24"/>
    <x v="1"/>
    <n v="20"/>
  </r>
  <r>
    <x v="1"/>
    <x v="18"/>
    <x v="7"/>
    <n v="46"/>
  </r>
  <r>
    <x v="1"/>
    <x v="3"/>
    <x v="6"/>
    <n v="32"/>
  </r>
  <r>
    <x v="1"/>
    <x v="9"/>
    <x v="10"/>
    <n v="35"/>
  </r>
  <r>
    <x v="1"/>
    <x v="4"/>
    <x v="10"/>
    <n v="43"/>
  </r>
  <r>
    <x v="1"/>
    <x v="15"/>
    <x v="7"/>
    <n v="42"/>
  </r>
  <r>
    <x v="1"/>
    <x v="18"/>
    <x v="4"/>
    <n v="44"/>
  </r>
  <r>
    <x v="0"/>
    <x v="10"/>
    <x v="0"/>
    <n v="19"/>
  </r>
  <r>
    <x v="0"/>
    <x v="24"/>
    <x v="11"/>
    <n v="16"/>
  </r>
  <r>
    <x v="1"/>
    <x v="17"/>
    <x v="4"/>
    <n v="24"/>
  </r>
  <r>
    <x v="0"/>
    <x v="6"/>
    <x v="9"/>
    <n v="6"/>
  </r>
  <r>
    <x v="1"/>
    <x v="17"/>
    <x v="6"/>
    <n v="24"/>
  </r>
  <r>
    <x v="1"/>
    <x v="18"/>
    <x v="2"/>
    <n v="22"/>
  </r>
  <r>
    <x v="2"/>
    <x v="23"/>
    <x v="7"/>
    <n v="8"/>
  </r>
  <r>
    <x v="0"/>
    <x v="24"/>
    <x v="9"/>
    <n v="16"/>
  </r>
  <r>
    <x v="1"/>
    <x v="11"/>
    <x v="2"/>
    <n v="16"/>
  </r>
  <r>
    <x v="1"/>
    <x v="20"/>
    <x v="8"/>
    <n v="16"/>
  </r>
  <r>
    <x v="0"/>
    <x v="6"/>
    <x v="3"/>
    <n v="15"/>
  </r>
  <r>
    <x v="0"/>
    <x v="1"/>
    <x v="10"/>
    <n v="15"/>
  </r>
  <r>
    <x v="0"/>
    <x v="14"/>
    <x v="7"/>
    <n v="35"/>
  </r>
  <r>
    <x v="0"/>
    <x v="2"/>
    <x v="1"/>
    <n v="15"/>
  </r>
  <r>
    <x v="1"/>
    <x v="7"/>
    <x v="5"/>
    <n v="15"/>
  </r>
  <r>
    <x v="0"/>
    <x v="12"/>
    <x v="0"/>
    <n v="16"/>
  </r>
  <r>
    <x v="1"/>
    <x v="21"/>
    <x v="0"/>
    <n v="27"/>
  </r>
  <r>
    <x v="0"/>
    <x v="1"/>
    <x v="8"/>
    <n v="10"/>
  </r>
  <r>
    <x v="0"/>
    <x v="16"/>
    <x v="9"/>
    <n v="4"/>
  </r>
  <r>
    <x v="1"/>
    <x v="5"/>
    <x v="3"/>
    <n v="22"/>
  </r>
  <r>
    <x v="0"/>
    <x v="19"/>
    <x v="0"/>
    <n v="17"/>
  </r>
  <r>
    <x v="0"/>
    <x v="16"/>
    <x v="11"/>
    <n v="15"/>
  </r>
  <r>
    <x v="0"/>
    <x v="14"/>
    <x v="9"/>
    <n v="16"/>
  </r>
  <r>
    <x v="0"/>
    <x v="22"/>
    <x v="11"/>
    <n v="44"/>
  </r>
  <r>
    <x v="1"/>
    <x v="3"/>
    <x v="0"/>
    <n v="38"/>
  </r>
  <r>
    <x v="0"/>
    <x v="16"/>
    <x v="2"/>
    <n v="5"/>
  </r>
  <r>
    <x v="0"/>
    <x v="2"/>
    <x v="5"/>
    <n v="7"/>
  </r>
  <r>
    <x v="0"/>
    <x v="24"/>
    <x v="7"/>
    <n v="31"/>
  </r>
  <r>
    <x v="0"/>
    <x v="2"/>
    <x v="0"/>
    <n v="15"/>
  </r>
  <r>
    <x v="2"/>
    <x v="23"/>
    <x v="1"/>
    <n v="4"/>
  </r>
  <r>
    <x v="0"/>
    <x v="2"/>
    <x v="10"/>
    <n v="5"/>
  </r>
  <r>
    <x v="0"/>
    <x v="22"/>
    <x v="9"/>
    <n v="15"/>
  </r>
  <r>
    <x v="1"/>
    <x v="11"/>
    <x v="3"/>
    <n v="19"/>
  </r>
  <r>
    <x v="0"/>
    <x v="6"/>
    <x v="4"/>
    <n v="15"/>
  </r>
  <r>
    <x v="1"/>
    <x v="3"/>
    <x v="2"/>
    <n v="18"/>
  </r>
  <r>
    <x v="0"/>
    <x v="16"/>
    <x v="7"/>
    <n v="9"/>
  </r>
  <r>
    <x v="1"/>
    <x v="15"/>
    <x v="1"/>
    <n v="21"/>
  </r>
  <r>
    <x v="0"/>
    <x v="14"/>
    <x v="11"/>
    <n v="26"/>
  </r>
  <r>
    <x v="0"/>
    <x v="22"/>
    <x v="0"/>
    <n v="6"/>
  </r>
  <r>
    <x v="1"/>
    <x v="9"/>
    <x v="8"/>
    <n v="18"/>
  </r>
  <r>
    <x v="1"/>
    <x v="20"/>
    <x v="10"/>
    <n v="17"/>
  </r>
  <r>
    <x v="1"/>
    <x v="15"/>
    <x v="9"/>
    <n v="24"/>
  </r>
  <r>
    <x v="1"/>
    <x v="18"/>
    <x v="3"/>
    <n v="26"/>
  </r>
  <r>
    <x v="1"/>
    <x v="8"/>
    <x v="7"/>
    <n v="39"/>
  </r>
  <r>
    <x v="0"/>
    <x v="19"/>
    <x v="6"/>
    <n v="29"/>
  </r>
  <r>
    <x v="0"/>
    <x v="14"/>
    <x v="1"/>
    <n v="22"/>
  </r>
  <r>
    <x v="1"/>
    <x v="21"/>
    <x v="6"/>
    <n v="25"/>
  </r>
  <r>
    <x v="0"/>
    <x v="10"/>
    <x v="5"/>
    <n v="14"/>
  </r>
  <r>
    <x v="0"/>
    <x v="6"/>
    <x v="11"/>
    <n v="9"/>
  </r>
  <r>
    <x v="0"/>
    <x v="12"/>
    <x v="6"/>
    <n v="22"/>
  </r>
  <r>
    <x v="1"/>
    <x v="15"/>
    <x v="11"/>
    <n v="51"/>
  </r>
  <r>
    <x v="2"/>
    <x v="23"/>
    <x v="11"/>
    <n v="8"/>
  </r>
  <r>
    <x v="1"/>
    <x v="5"/>
    <x v="2"/>
    <n v="32"/>
  </r>
  <r>
    <x v="2"/>
    <x v="23"/>
    <x v="9"/>
    <n v="13"/>
  </r>
  <r>
    <x v="0"/>
    <x v="13"/>
    <x v="8"/>
    <n v="14"/>
  </r>
  <r>
    <x v="1"/>
    <x v="11"/>
    <x v="4"/>
    <n v="29"/>
  </r>
  <r>
    <x v="0"/>
    <x v="12"/>
    <x v="7"/>
    <n v="30"/>
  </r>
  <r>
    <x v="1"/>
    <x v="3"/>
    <x v="9"/>
    <n v="16"/>
  </r>
  <r>
    <x v="0"/>
    <x v="14"/>
    <x v="10"/>
    <n v="12"/>
  </r>
  <r>
    <x v="1"/>
    <x v="9"/>
    <x v="3"/>
    <n v="31"/>
  </r>
  <r>
    <x v="1"/>
    <x v="7"/>
    <x v="4"/>
    <n v="16"/>
  </r>
  <r>
    <x v="1"/>
    <x v="8"/>
    <x v="2"/>
    <n v="20"/>
  </r>
  <r>
    <x v="0"/>
    <x v="19"/>
    <x v="7"/>
    <n v="49"/>
  </r>
  <r>
    <x v="1"/>
    <x v="21"/>
    <x v="7"/>
    <n v="30"/>
  </r>
  <r>
    <x v="0"/>
    <x v="0"/>
    <x v="2"/>
    <n v="21"/>
  </r>
  <r>
    <x v="0"/>
    <x v="16"/>
    <x v="1"/>
    <n v="8"/>
  </r>
  <r>
    <x v="0"/>
    <x v="14"/>
    <x v="0"/>
    <n v="26"/>
  </r>
  <r>
    <x v="1"/>
    <x v="3"/>
    <x v="11"/>
    <n v="48"/>
  </r>
  <r>
    <x v="0"/>
    <x v="2"/>
    <x v="9"/>
    <n v="15"/>
  </r>
  <r>
    <x v="2"/>
    <x v="23"/>
    <x v="0"/>
    <n v="4"/>
  </r>
  <r>
    <x v="0"/>
    <x v="22"/>
    <x v="10"/>
    <n v="6"/>
  </r>
  <r>
    <x v="0"/>
    <x v="13"/>
    <x v="4"/>
    <n v="16"/>
  </r>
  <r>
    <x v="1"/>
    <x v="8"/>
    <x v="6"/>
    <n v="32"/>
  </r>
  <r>
    <x v="1"/>
    <x v="9"/>
    <x v="5"/>
    <n v="21"/>
  </r>
  <r>
    <x v="0"/>
    <x v="22"/>
    <x v="5"/>
    <n v="6"/>
  </r>
  <r>
    <x v="0"/>
    <x v="2"/>
    <x v="11"/>
    <n v="27"/>
  </r>
  <r>
    <x v="1"/>
    <x v="20"/>
    <x v="1"/>
    <n v="22"/>
  </r>
  <r>
    <x v="1"/>
    <x v="7"/>
    <x v="3"/>
    <n v="15"/>
  </r>
  <r>
    <x v="1"/>
    <x v="9"/>
    <x v="4"/>
    <n v="43"/>
  </r>
  <r>
    <x v="1"/>
    <x v="20"/>
    <x v="11"/>
    <n v="56"/>
  </r>
  <r>
    <x v="0"/>
    <x v="6"/>
    <x v="8"/>
    <n v="10"/>
  </r>
  <r>
    <x v="1"/>
    <x v="3"/>
    <x v="1"/>
    <n v="35"/>
  </r>
  <r>
    <x v="1"/>
    <x v="15"/>
    <x v="0"/>
    <n v="24"/>
  </r>
  <r>
    <x v="0"/>
    <x v="19"/>
    <x v="3"/>
    <n v="21"/>
  </r>
  <r>
    <x v="1"/>
    <x v="15"/>
    <x v="10"/>
    <n v="26"/>
  </r>
  <r>
    <x v="0"/>
    <x v="22"/>
    <x v="4"/>
    <n v="26"/>
  </r>
  <r>
    <x v="0"/>
    <x v="1"/>
    <x v="3"/>
    <n v="12"/>
  </r>
  <r>
    <x v="0"/>
    <x v="24"/>
    <x v="2"/>
    <n v="8"/>
  </r>
  <r>
    <x v="0"/>
    <x v="24"/>
    <x v="6"/>
    <n v="20"/>
  </r>
  <r>
    <x v="1"/>
    <x v="17"/>
    <x v="2"/>
    <n v="20"/>
  </r>
  <r>
    <x v="0"/>
    <x v="10"/>
    <x v="8"/>
    <n v="15"/>
  </r>
  <r>
    <x v="1"/>
    <x v="20"/>
    <x v="9"/>
    <n v="35"/>
  </r>
  <r>
    <x v="0"/>
    <x v="16"/>
    <x v="6"/>
    <n v="9"/>
  </r>
  <r>
    <x v="0"/>
    <x v="2"/>
    <x v="4"/>
    <n v="23"/>
  </r>
  <r>
    <x v="0"/>
    <x v="13"/>
    <x v="5"/>
    <n v="11"/>
  </r>
  <r>
    <x v="1"/>
    <x v="20"/>
    <x v="0"/>
    <n v="24"/>
  </r>
  <r>
    <x v="2"/>
    <x v="23"/>
    <x v="10"/>
    <n v="4"/>
  </r>
  <r>
    <x v="0"/>
    <x v="6"/>
    <x v="10"/>
    <n v="14"/>
  </r>
  <r>
    <x v="1"/>
    <x v="8"/>
    <x v="11"/>
    <n v="47"/>
  </r>
  <r>
    <x v="1"/>
    <x v="8"/>
    <x v="3"/>
    <n v="17"/>
  </r>
  <r>
    <x v="1"/>
    <x v="9"/>
    <x v="0"/>
    <n v="38"/>
  </r>
  <r>
    <x v="0"/>
    <x v="14"/>
    <x v="5"/>
    <n v="19"/>
  </r>
  <r>
    <x v="2"/>
    <x v="23"/>
    <x v="8"/>
    <n v="8"/>
  </r>
  <r>
    <x v="0"/>
    <x v="19"/>
    <x v="9"/>
    <n v="22"/>
  </r>
  <r>
    <x v="0"/>
    <x v="0"/>
    <x v="6"/>
    <n v="17"/>
  </r>
  <r>
    <x v="1"/>
    <x v="11"/>
    <x v="8"/>
    <n v="17"/>
  </r>
  <r>
    <x v="0"/>
    <x v="10"/>
    <x v="4"/>
    <n v="23"/>
  </r>
  <r>
    <x v="1"/>
    <x v="8"/>
    <x v="10"/>
    <n v="36"/>
  </r>
  <r>
    <x v="1"/>
    <x v="21"/>
    <x v="1"/>
    <n v="25"/>
  </r>
  <r>
    <x v="1"/>
    <x v="18"/>
    <x v="10"/>
    <n v="27"/>
  </r>
  <r>
    <x v="1"/>
    <x v="18"/>
    <x v="11"/>
    <n v="42"/>
  </r>
  <r>
    <x v="1"/>
    <x v="8"/>
    <x v="9"/>
    <n v="15"/>
  </r>
  <r>
    <x v="1"/>
    <x v="4"/>
    <x v="6"/>
    <n v="21"/>
  </r>
  <r>
    <x v="1"/>
    <x v="9"/>
    <x v="2"/>
    <n v="30"/>
  </r>
  <r>
    <x v="1"/>
    <x v="3"/>
    <x v="5"/>
    <n v="26"/>
  </r>
  <r>
    <x v="1"/>
    <x v="8"/>
    <x v="8"/>
    <n v="29"/>
  </r>
  <r>
    <x v="0"/>
    <x v="12"/>
    <x v="11"/>
    <n v="32"/>
  </r>
  <r>
    <x v="0"/>
    <x v="12"/>
    <x v="10"/>
    <n v="11"/>
  </r>
  <r>
    <x v="1"/>
    <x v="4"/>
    <x v="1"/>
    <n v="17"/>
  </r>
  <r>
    <x v="1"/>
    <x v="5"/>
    <x v="5"/>
    <n v="9"/>
  </r>
  <r>
    <x v="0"/>
    <x v="19"/>
    <x v="2"/>
    <n v="10"/>
  </r>
  <r>
    <x v="0"/>
    <x v="12"/>
    <x v="9"/>
    <n v="11"/>
  </r>
  <r>
    <x v="0"/>
    <x v="0"/>
    <x v="1"/>
    <n v="8"/>
  </r>
  <r>
    <x v="0"/>
    <x v="10"/>
    <x v="10"/>
    <n v="21"/>
  </r>
  <r>
    <x v="0"/>
    <x v="10"/>
    <x v="11"/>
    <n v="19"/>
  </r>
  <r>
    <x v="1"/>
    <x v="4"/>
    <x v="4"/>
    <n v="19"/>
  </r>
  <r>
    <x v="1"/>
    <x v="20"/>
    <x v="6"/>
    <n v="37"/>
  </r>
  <r>
    <x v="0"/>
    <x v="10"/>
    <x v="9"/>
    <n v="8"/>
  </r>
  <r>
    <x v="1"/>
    <x v="15"/>
    <x v="5"/>
    <n v="21"/>
  </r>
  <r>
    <x v="0"/>
    <x v="24"/>
    <x v="0"/>
    <n v="27"/>
  </r>
  <r>
    <x v="0"/>
    <x v="22"/>
    <x v="7"/>
    <n v="45"/>
  </r>
  <r>
    <x v="0"/>
    <x v="13"/>
    <x v="9"/>
    <n v="1"/>
  </r>
  <r>
    <x v="0"/>
    <x v="1"/>
    <x v="2"/>
    <n v="8"/>
  </r>
  <r>
    <x v="0"/>
    <x v="13"/>
    <x v="10"/>
    <n v="39"/>
  </r>
  <r>
    <x v="1"/>
    <x v="7"/>
    <x v="6"/>
    <n v="14"/>
  </r>
  <r>
    <x v="1"/>
    <x v="20"/>
    <x v="2"/>
    <n v="27"/>
  </r>
  <r>
    <x v="0"/>
    <x v="13"/>
    <x v="11"/>
    <n v="18"/>
  </r>
  <r>
    <x v="1"/>
    <x v="17"/>
    <x v="11"/>
    <n v="29"/>
  </r>
  <r>
    <x v="1"/>
    <x v="11"/>
    <x v="9"/>
    <n v="2"/>
  </r>
  <r>
    <x v="0"/>
    <x v="0"/>
    <x v="5"/>
    <n v="6"/>
  </r>
  <r>
    <x v="0"/>
    <x v="24"/>
    <x v="4"/>
    <n v="28"/>
  </r>
  <r>
    <x v="2"/>
    <x v="23"/>
    <x v="2"/>
    <n v="1"/>
  </r>
  <r>
    <x v="1"/>
    <x v="21"/>
    <x v="4"/>
    <n v="27"/>
  </r>
  <r>
    <x v="0"/>
    <x v="0"/>
    <x v="9"/>
    <n v="20"/>
  </r>
  <r>
    <x v="0"/>
    <x v="1"/>
    <x v="7"/>
    <n v="20"/>
  </r>
  <r>
    <x v="0"/>
    <x v="13"/>
    <x v="2"/>
    <n v="9"/>
  </r>
  <r>
    <x v="0"/>
    <x v="0"/>
    <x v="10"/>
    <n v="13"/>
  </r>
  <r>
    <x v="0"/>
    <x v="19"/>
    <x v="10"/>
    <n v="9"/>
  </r>
  <r>
    <x v="1"/>
    <x v="5"/>
    <x v="1"/>
    <n v="25"/>
  </r>
  <r>
    <x v="1"/>
    <x v="11"/>
    <x v="11"/>
    <n v="35"/>
  </r>
  <r>
    <x v="0"/>
    <x v="16"/>
    <x v="4"/>
    <n v="12"/>
  </r>
  <r>
    <x v="2"/>
    <x v="23"/>
    <x v="3"/>
    <n v="6"/>
  </r>
  <r>
    <x v="1"/>
    <x v="17"/>
    <x v="10"/>
    <n v="36"/>
  </r>
  <r>
    <x v="0"/>
    <x v="19"/>
    <x v="11"/>
    <n v="48"/>
  </r>
  <r>
    <x v="0"/>
    <x v="0"/>
    <x v="11"/>
    <n v="50"/>
  </r>
  <r>
    <x v="1"/>
    <x v="18"/>
    <x v="5"/>
    <n v="23"/>
  </r>
  <r>
    <x v="1"/>
    <x v="20"/>
    <x v="4"/>
    <n v="38"/>
  </r>
  <r>
    <x v="1"/>
    <x v="4"/>
    <x v="5"/>
    <n v="21"/>
  </r>
  <r>
    <x v="1"/>
    <x v="21"/>
    <x v="3"/>
    <n v="12"/>
  </r>
  <r>
    <x v="0"/>
    <x v="24"/>
    <x v="5"/>
    <n v="9"/>
  </r>
  <r>
    <x v="1"/>
    <x v="3"/>
    <x v="4"/>
    <n v="35"/>
  </r>
  <r>
    <x v="1"/>
    <x v="7"/>
    <x v="11"/>
    <n v="17"/>
  </r>
  <r>
    <x v="0"/>
    <x v="6"/>
    <x v="6"/>
    <n v="24"/>
  </r>
  <r>
    <x v="1"/>
    <x v="21"/>
    <x v="5"/>
    <n v="24"/>
  </r>
  <r>
    <x v="1"/>
    <x v="9"/>
    <x v="7"/>
    <n v="52"/>
  </r>
  <r>
    <x v="0"/>
    <x v="1"/>
    <x v="0"/>
    <n v="7"/>
  </r>
  <r>
    <x v="1"/>
    <x v="17"/>
    <x v="8"/>
    <n v="26"/>
  </r>
  <r>
    <x v="0"/>
    <x v="19"/>
    <x v="8"/>
    <n v="12"/>
  </r>
  <r>
    <x v="1"/>
    <x v="7"/>
    <x v="10"/>
    <n v="35"/>
  </r>
  <r>
    <x v="0"/>
    <x v="10"/>
    <x v="2"/>
    <n v="4"/>
  </r>
  <r>
    <x v="0"/>
    <x v="16"/>
    <x v="8"/>
    <n v="4"/>
  </r>
  <r>
    <x v="0"/>
    <x v="13"/>
    <x v="6"/>
    <n v="16"/>
  </r>
  <r>
    <x v="1"/>
    <x v="4"/>
    <x v="9"/>
    <n v="1"/>
  </r>
  <r>
    <x v="1"/>
    <x v="5"/>
    <x v="0"/>
    <n v="20"/>
  </r>
  <r>
    <x v="0"/>
    <x v="0"/>
    <x v="4"/>
    <n v="43"/>
  </r>
  <r>
    <x v="0"/>
    <x v="10"/>
    <x v="6"/>
    <n v="25"/>
  </r>
  <r>
    <x v="1"/>
    <x v="4"/>
    <x v="11"/>
    <n v="24"/>
  </r>
  <r>
    <x v="1"/>
    <x v="18"/>
    <x v="1"/>
    <n v="26"/>
  </r>
  <r>
    <x v="1"/>
    <x v="11"/>
    <x v="7"/>
    <n v="37"/>
  </r>
  <r>
    <x v="1"/>
    <x v="7"/>
    <x v="9"/>
    <n v="5"/>
  </r>
  <r>
    <x v="1"/>
    <x v="7"/>
    <x v="2"/>
    <n v="10"/>
  </r>
  <r>
    <x v="0"/>
    <x v="12"/>
    <x v="8"/>
    <n v="13"/>
  </r>
  <r>
    <x v="0"/>
    <x v="22"/>
    <x v="2"/>
    <n v="17"/>
  </r>
  <r>
    <x v="0"/>
    <x v="14"/>
    <x v="6"/>
    <n v="32"/>
  </r>
  <r>
    <x v="1"/>
    <x v="9"/>
    <x v="11"/>
    <n v="43"/>
  </r>
  <r>
    <x v="1"/>
    <x v="15"/>
    <x v="4"/>
    <n v="35"/>
  </r>
  <r>
    <x v="0"/>
    <x v="0"/>
    <x v="8"/>
    <n v="17"/>
  </r>
  <r>
    <x v="0"/>
    <x v="2"/>
    <x v="3"/>
    <n v="9"/>
  </r>
  <r>
    <x v="0"/>
    <x v="14"/>
    <x v="2"/>
    <n v="8"/>
  </r>
  <r>
    <x v="2"/>
    <x v="23"/>
    <x v="6"/>
    <n v="7"/>
  </r>
  <r>
    <x v="2"/>
    <x v="23"/>
    <x v="4"/>
    <n v="7"/>
  </r>
  <r>
    <x v="1"/>
    <x v="18"/>
    <x v="9"/>
    <n v="24"/>
  </r>
  <r>
    <x v="1"/>
    <x v="9"/>
    <x v="9"/>
    <n v="29"/>
  </r>
  <r>
    <x v="1"/>
    <x v="8"/>
    <x v="0"/>
    <n v="27"/>
  </r>
  <r>
    <x v="1"/>
    <x v="17"/>
    <x v="7"/>
    <n v="34"/>
  </r>
  <r>
    <x v="0"/>
    <x v="22"/>
    <x v="8"/>
    <n v="11"/>
  </r>
  <r>
    <x v="1"/>
    <x v="17"/>
    <x v="9"/>
    <n v="6"/>
  </r>
  <r>
    <x v="0"/>
    <x v="6"/>
    <x v="1"/>
    <n v="10"/>
  </r>
  <r>
    <x v="0"/>
    <x v="1"/>
    <x v="11"/>
    <n v="13"/>
  </r>
  <r>
    <x v="1"/>
    <x v="5"/>
    <x v="6"/>
    <n v="26"/>
  </r>
  <r>
    <x v="1"/>
    <x v="18"/>
    <x v="6"/>
    <n v="41"/>
  </r>
  <r>
    <x v="1"/>
    <x v="15"/>
    <x v="6"/>
    <n v="37"/>
  </r>
  <r>
    <x v="1"/>
    <x v="17"/>
    <x v="3"/>
    <n v="25"/>
  </r>
  <r>
    <x v="0"/>
    <x v="24"/>
    <x v="8"/>
    <n v="16"/>
  </r>
  <r>
    <x v="1"/>
    <x v="3"/>
    <x v="7"/>
    <n v="46"/>
  </r>
  <r>
    <x v="0"/>
    <x v="6"/>
    <x v="5"/>
    <n v="12"/>
  </r>
  <r>
    <x v="1"/>
    <x v="20"/>
    <x v="5"/>
    <n v="15"/>
  </r>
  <r>
    <x v="0"/>
    <x v="24"/>
    <x v="3"/>
    <n v="20"/>
  </r>
  <r>
    <x v="1"/>
    <x v="9"/>
    <x v="1"/>
    <n v="21"/>
  </r>
  <r>
    <x v="0"/>
    <x v="16"/>
    <x v="5"/>
    <n v="7"/>
  </r>
  <r>
    <x v="0"/>
    <x v="24"/>
    <x v="10"/>
    <n v="17"/>
  </r>
  <r>
    <x v="0"/>
    <x v="12"/>
    <x v="2"/>
    <n v="11"/>
  </r>
  <r>
    <x v="0"/>
    <x v="14"/>
    <x v="4"/>
    <n v="34"/>
  </r>
  <r>
    <x v="1"/>
    <x v="21"/>
    <x v="2"/>
    <n v="9"/>
  </r>
  <r>
    <x v="0"/>
    <x v="2"/>
    <x v="7"/>
    <n v="21"/>
  </r>
  <r>
    <x v="0"/>
    <x v="13"/>
    <x v="0"/>
    <n v="11"/>
  </r>
  <r>
    <x v="1"/>
    <x v="7"/>
    <x v="8"/>
    <n v="14"/>
  </r>
  <r>
    <x v="0"/>
    <x v="16"/>
    <x v="10"/>
    <n v="26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">
  <r>
    <x v="0"/>
    <x v="0"/>
    <x v="0"/>
    <n v="947"/>
  </r>
  <r>
    <x v="0"/>
    <x v="0"/>
    <x v="1"/>
    <n v="176"/>
  </r>
  <r>
    <x v="0"/>
    <x v="0"/>
    <x v="2"/>
    <n v="415"/>
  </r>
  <r>
    <x v="0"/>
    <x v="1"/>
    <x v="3"/>
    <n v="587"/>
  </r>
  <r>
    <x v="0"/>
    <x v="1"/>
    <x v="4"/>
    <n v="1328"/>
  </r>
  <r>
    <x v="0"/>
    <x v="2"/>
    <x v="5"/>
    <n v="1002"/>
  </r>
  <r>
    <x v="0"/>
    <x v="3"/>
    <x v="6"/>
    <n v="383"/>
  </r>
  <r>
    <x v="0"/>
    <x v="4"/>
    <x v="1"/>
    <n v="158"/>
  </r>
  <r>
    <x v="0"/>
    <x v="4"/>
    <x v="7"/>
    <n v="88"/>
  </r>
  <r>
    <x v="0"/>
    <x v="4"/>
    <x v="8"/>
    <n v="90"/>
  </r>
  <r>
    <x v="0"/>
    <x v="5"/>
    <x v="6"/>
    <n v="309"/>
  </r>
  <r>
    <x v="0"/>
    <x v="6"/>
    <x v="0"/>
    <n v="694"/>
  </r>
  <r>
    <x v="0"/>
    <x v="6"/>
    <x v="9"/>
    <n v="390"/>
  </r>
  <r>
    <x v="0"/>
    <x v="6"/>
    <x v="2"/>
    <n v="338"/>
  </r>
  <r>
    <x v="0"/>
    <x v="7"/>
    <x v="4"/>
    <n v="1089"/>
  </r>
  <r>
    <x v="0"/>
    <x v="8"/>
    <x v="0"/>
    <n v="1320"/>
  </r>
  <r>
    <x v="0"/>
    <x v="8"/>
    <x v="10"/>
    <n v="1445"/>
  </r>
  <r>
    <x v="0"/>
    <x v="9"/>
    <x v="7"/>
    <n v="617"/>
  </r>
  <r>
    <x v="1"/>
    <x v="10"/>
    <x v="8"/>
    <n v="310"/>
  </r>
  <r>
    <x v="1"/>
    <x v="11"/>
    <x v="3"/>
    <n v="596"/>
  </r>
  <r>
    <x v="1"/>
    <x v="12"/>
    <x v="6"/>
    <n v="1903"/>
  </r>
  <r>
    <x v="1"/>
    <x v="13"/>
    <x v="10"/>
    <n v="2372"/>
  </r>
  <r>
    <x v="1"/>
    <x v="13"/>
    <x v="11"/>
    <n v="1826"/>
  </r>
  <r>
    <x v="1"/>
    <x v="14"/>
    <x v="3"/>
    <n v="1573"/>
  </r>
  <r>
    <x v="1"/>
    <x v="14"/>
    <x v="1"/>
    <n v="1678"/>
  </r>
  <r>
    <x v="1"/>
    <x v="15"/>
    <x v="4"/>
    <n v="2451"/>
  </r>
  <r>
    <x v="1"/>
    <x v="16"/>
    <x v="11"/>
    <n v="1040"/>
  </r>
  <r>
    <x v="1"/>
    <x v="17"/>
    <x v="5"/>
    <n v="773"/>
  </r>
  <r>
    <x v="1"/>
    <x v="18"/>
    <x v="0"/>
    <n v="1677"/>
  </r>
  <r>
    <x v="1"/>
    <x v="18"/>
    <x v="9"/>
    <n v="547"/>
  </r>
  <r>
    <x v="1"/>
    <x v="18"/>
    <x v="2"/>
    <n v="946"/>
  </r>
  <r>
    <x v="2"/>
    <x v="19"/>
    <x v="0"/>
    <n v="54"/>
  </r>
  <r>
    <x v="2"/>
    <x v="19"/>
    <x v="9"/>
    <n v="18"/>
  </r>
  <r>
    <x v="2"/>
    <x v="19"/>
    <x v="2"/>
    <n v="66"/>
  </r>
  <r>
    <x v="0"/>
    <x v="1"/>
    <x v="0"/>
    <n v="1316"/>
  </r>
  <r>
    <x v="0"/>
    <x v="1"/>
    <x v="2"/>
    <n v="521"/>
  </r>
  <r>
    <x v="0"/>
    <x v="3"/>
    <x v="1"/>
    <n v="201"/>
  </r>
  <r>
    <x v="0"/>
    <x v="4"/>
    <x v="6"/>
    <n v="250"/>
  </r>
  <r>
    <x v="0"/>
    <x v="4"/>
    <x v="9"/>
    <n v="152"/>
  </r>
  <r>
    <x v="0"/>
    <x v="5"/>
    <x v="1"/>
    <n v="229"/>
  </r>
  <r>
    <x v="0"/>
    <x v="6"/>
    <x v="4"/>
    <n v="719"/>
  </r>
  <r>
    <x v="0"/>
    <x v="7"/>
    <x v="0"/>
    <n v="976"/>
  </r>
  <r>
    <x v="0"/>
    <x v="7"/>
    <x v="9"/>
    <n v="525"/>
  </r>
  <r>
    <x v="0"/>
    <x v="7"/>
    <x v="2"/>
    <n v="363"/>
  </r>
  <r>
    <x v="0"/>
    <x v="8"/>
    <x v="11"/>
    <n v="1094"/>
  </r>
  <r>
    <x v="0"/>
    <x v="8"/>
    <x v="2"/>
    <n v="501"/>
  </r>
  <r>
    <x v="0"/>
    <x v="9"/>
    <x v="1"/>
    <n v="931"/>
  </r>
  <r>
    <x v="0"/>
    <x v="20"/>
    <x v="5"/>
    <n v="773"/>
  </r>
  <r>
    <x v="0"/>
    <x v="20"/>
    <x v="8"/>
    <n v="1298"/>
  </r>
  <r>
    <x v="1"/>
    <x v="21"/>
    <x v="5"/>
    <n v="1201"/>
  </r>
  <r>
    <x v="1"/>
    <x v="21"/>
    <x v="8"/>
    <n v="2104"/>
  </r>
  <r>
    <x v="1"/>
    <x v="10"/>
    <x v="5"/>
    <n v="537"/>
  </r>
  <r>
    <x v="1"/>
    <x v="11"/>
    <x v="4"/>
    <n v="1104"/>
  </r>
  <r>
    <x v="1"/>
    <x v="11"/>
    <x v="11"/>
    <n v="513"/>
  </r>
  <r>
    <x v="1"/>
    <x v="12"/>
    <x v="1"/>
    <n v="1447"/>
  </r>
  <r>
    <x v="1"/>
    <x v="22"/>
    <x v="10"/>
    <n v="2452"/>
  </r>
  <r>
    <x v="1"/>
    <x v="22"/>
    <x v="6"/>
    <n v="2218"/>
  </r>
  <r>
    <x v="1"/>
    <x v="13"/>
    <x v="3"/>
    <n v="1396"/>
  </r>
  <r>
    <x v="1"/>
    <x v="13"/>
    <x v="6"/>
    <n v="2092"/>
  </r>
  <r>
    <x v="1"/>
    <x v="14"/>
    <x v="6"/>
    <n v="2265"/>
  </r>
  <r>
    <x v="1"/>
    <x v="16"/>
    <x v="3"/>
    <n v="1020"/>
  </r>
  <r>
    <x v="1"/>
    <x v="16"/>
    <x v="4"/>
    <n v="1791"/>
  </r>
  <r>
    <x v="1"/>
    <x v="16"/>
    <x v="10"/>
    <n v="1576"/>
  </r>
  <r>
    <x v="1"/>
    <x v="17"/>
    <x v="8"/>
    <n v="668"/>
  </r>
  <r>
    <x v="1"/>
    <x v="18"/>
    <x v="4"/>
    <n v="1580"/>
  </r>
  <r>
    <x v="1"/>
    <x v="23"/>
    <x v="7"/>
    <n v="985"/>
  </r>
  <r>
    <x v="2"/>
    <x v="19"/>
    <x v="4"/>
    <n v="40"/>
  </r>
  <r>
    <x v="0"/>
    <x v="0"/>
    <x v="5"/>
    <n v="207"/>
  </r>
  <r>
    <x v="0"/>
    <x v="1"/>
    <x v="7"/>
    <n v="765"/>
  </r>
  <r>
    <x v="0"/>
    <x v="1"/>
    <x v="8"/>
    <n v="1715"/>
  </r>
  <r>
    <x v="0"/>
    <x v="2"/>
    <x v="1"/>
    <n v="985"/>
  </r>
  <r>
    <x v="0"/>
    <x v="4"/>
    <x v="4"/>
    <n v="567"/>
  </r>
  <r>
    <x v="0"/>
    <x v="4"/>
    <x v="11"/>
    <n v="187"/>
  </r>
  <r>
    <x v="0"/>
    <x v="5"/>
    <x v="3"/>
    <n v="174"/>
  </r>
  <r>
    <x v="0"/>
    <x v="6"/>
    <x v="3"/>
    <n v="224"/>
  </r>
  <r>
    <x v="0"/>
    <x v="6"/>
    <x v="10"/>
    <n v="623"/>
  </r>
  <r>
    <x v="0"/>
    <x v="6"/>
    <x v="6"/>
    <n v="486"/>
  </r>
  <r>
    <x v="0"/>
    <x v="7"/>
    <x v="11"/>
    <n v="702"/>
  </r>
  <r>
    <x v="0"/>
    <x v="7"/>
    <x v="5"/>
    <n v="602"/>
  </r>
  <r>
    <x v="0"/>
    <x v="7"/>
    <x v="8"/>
    <n v="431"/>
  </r>
  <r>
    <x v="0"/>
    <x v="8"/>
    <x v="9"/>
    <n v="772"/>
  </r>
  <r>
    <x v="0"/>
    <x v="8"/>
    <x v="7"/>
    <n v="597"/>
  </r>
  <r>
    <x v="0"/>
    <x v="20"/>
    <x v="0"/>
    <n v="1168"/>
  </r>
  <r>
    <x v="0"/>
    <x v="24"/>
    <x v="5"/>
    <n v="274"/>
  </r>
  <r>
    <x v="1"/>
    <x v="10"/>
    <x v="7"/>
    <n v="309"/>
  </r>
  <r>
    <x v="1"/>
    <x v="11"/>
    <x v="6"/>
    <n v="616"/>
  </r>
  <r>
    <x v="1"/>
    <x v="12"/>
    <x v="3"/>
    <n v="1252"/>
  </r>
  <r>
    <x v="1"/>
    <x v="22"/>
    <x v="4"/>
    <n v="2574"/>
  </r>
  <r>
    <x v="1"/>
    <x v="22"/>
    <x v="11"/>
    <n v="1933"/>
  </r>
  <r>
    <x v="1"/>
    <x v="22"/>
    <x v="2"/>
    <n v="1147"/>
  </r>
  <r>
    <x v="1"/>
    <x v="14"/>
    <x v="4"/>
    <n v="2994"/>
  </r>
  <r>
    <x v="1"/>
    <x v="15"/>
    <x v="1"/>
    <n v="1380"/>
  </r>
  <r>
    <x v="1"/>
    <x v="16"/>
    <x v="6"/>
    <n v="1274"/>
  </r>
  <r>
    <x v="1"/>
    <x v="16"/>
    <x v="2"/>
    <n v="1038"/>
  </r>
  <r>
    <x v="1"/>
    <x v="17"/>
    <x v="0"/>
    <n v="1739"/>
  </r>
  <r>
    <x v="1"/>
    <x v="17"/>
    <x v="9"/>
    <n v="628"/>
  </r>
  <r>
    <x v="1"/>
    <x v="17"/>
    <x v="2"/>
    <n v="1036"/>
  </r>
  <r>
    <x v="1"/>
    <x v="18"/>
    <x v="10"/>
    <n v="1288"/>
  </r>
  <r>
    <x v="1"/>
    <x v="18"/>
    <x v="6"/>
    <n v="940"/>
  </r>
  <r>
    <x v="1"/>
    <x v="23"/>
    <x v="5"/>
    <n v="1170"/>
  </r>
  <r>
    <x v="2"/>
    <x v="19"/>
    <x v="10"/>
    <n v="37"/>
  </r>
  <r>
    <x v="2"/>
    <x v="19"/>
    <x v="6"/>
    <n v="36"/>
  </r>
  <r>
    <x v="0"/>
    <x v="1"/>
    <x v="11"/>
    <n v="952"/>
  </r>
  <r>
    <x v="0"/>
    <x v="2"/>
    <x v="4"/>
    <n v="1574"/>
  </r>
  <r>
    <x v="0"/>
    <x v="3"/>
    <x v="7"/>
    <n v="107"/>
  </r>
  <r>
    <x v="0"/>
    <x v="4"/>
    <x v="3"/>
    <n v="171"/>
  </r>
  <r>
    <x v="0"/>
    <x v="5"/>
    <x v="10"/>
    <n v="382"/>
  </r>
  <r>
    <x v="0"/>
    <x v="5"/>
    <x v="11"/>
    <n v="281"/>
  </r>
  <r>
    <x v="0"/>
    <x v="5"/>
    <x v="7"/>
    <n v="152"/>
  </r>
  <r>
    <x v="0"/>
    <x v="6"/>
    <x v="11"/>
    <n v="509"/>
  </r>
  <r>
    <x v="0"/>
    <x v="8"/>
    <x v="3"/>
    <n v="602"/>
  </r>
  <r>
    <x v="0"/>
    <x v="8"/>
    <x v="4"/>
    <n v="1587"/>
  </r>
  <r>
    <x v="0"/>
    <x v="9"/>
    <x v="4"/>
    <n v="1452"/>
  </r>
  <r>
    <x v="0"/>
    <x v="20"/>
    <x v="9"/>
    <n v="715"/>
  </r>
  <r>
    <x v="0"/>
    <x v="20"/>
    <x v="7"/>
    <n v="672"/>
  </r>
  <r>
    <x v="0"/>
    <x v="20"/>
    <x v="2"/>
    <n v="466"/>
  </r>
  <r>
    <x v="0"/>
    <x v="24"/>
    <x v="1"/>
    <n v="266"/>
  </r>
  <r>
    <x v="1"/>
    <x v="21"/>
    <x v="1"/>
    <n v="1206"/>
  </r>
  <r>
    <x v="1"/>
    <x v="10"/>
    <x v="11"/>
    <n v="661"/>
  </r>
  <r>
    <x v="1"/>
    <x v="11"/>
    <x v="0"/>
    <n v="1246"/>
  </r>
  <r>
    <x v="1"/>
    <x v="11"/>
    <x v="10"/>
    <n v="876"/>
  </r>
  <r>
    <x v="1"/>
    <x v="11"/>
    <x v="8"/>
    <n v="212"/>
  </r>
  <r>
    <x v="1"/>
    <x v="11"/>
    <x v="2"/>
    <n v="652"/>
  </r>
  <r>
    <x v="1"/>
    <x v="12"/>
    <x v="5"/>
    <n v="1440"/>
  </r>
  <r>
    <x v="1"/>
    <x v="22"/>
    <x v="1"/>
    <n v="1664"/>
  </r>
  <r>
    <x v="1"/>
    <x v="22"/>
    <x v="9"/>
    <n v="1462"/>
  </r>
  <r>
    <x v="1"/>
    <x v="13"/>
    <x v="1"/>
    <n v="1593"/>
  </r>
  <r>
    <x v="1"/>
    <x v="13"/>
    <x v="9"/>
    <n v="1502"/>
  </r>
  <r>
    <x v="1"/>
    <x v="14"/>
    <x v="11"/>
    <n v="2010"/>
  </r>
  <r>
    <x v="1"/>
    <x v="15"/>
    <x v="10"/>
    <n v="2213"/>
  </r>
  <r>
    <x v="1"/>
    <x v="15"/>
    <x v="7"/>
    <n v="872"/>
  </r>
  <r>
    <x v="1"/>
    <x v="16"/>
    <x v="5"/>
    <n v="867"/>
  </r>
  <r>
    <x v="1"/>
    <x v="16"/>
    <x v="1"/>
    <n v="847"/>
  </r>
  <r>
    <x v="1"/>
    <x v="17"/>
    <x v="6"/>
    <n v="1075"/>
  </r>
  <r>
    <x v="1"/>
    <x v="18"/>
    <x v="3"/>
    <n v="912"/>
  </r>
  <r>
    <x v="1"/>
    <x v="18"/>
    <x v="11"/>
    <n v="785"/>
  </r>
  <r>
    <x v="1"/>
    <x v="23"/>
    <x v="1"/>
    <n v="1132"/>
  </r>
  <r>
    <x v="1"/>
    <x v="23"/>
    <x v="9"/>
    <n v="1118"/>
  </r>
  <r>
    <x v="0"/>
    <x v="0"/>
    <x v="6"/>
    <n v="415"/>
  </r>
  <r>
    <x v="0"/>
    <x v="0"/>
    <x v="11"/>
    <n v="309"/>
  </r>
  <r>
    <x v="0"/>
    <x v="0"/>
    <x v="9"/>
    <n v="177"/>
  </r>
  <r>
    <x v="0"/>
    <x v="1"/>
    <x v="1"/>
    <n v="842"/>
  </r>
  <r>
    <x v="0"/>
    <x v="2"/>
    <x v="11"/>
    <n v="1040"/>
  </r>
  <r>
    <x v="0"/>
    <x v="2"/>
    <x v="9"/>
    <n v="962"/>
  </r>
  <r>
    <x v="0"/>
    <x v="3"/>
    <x v="10"/>
    <n v="542"/>
  </r>
  <r>
    <x v="0"/>
    <x v="3"/>
    <x v="9"/>
    <n v="141"/>
  </r>
  <r>
    <x v="0"/>
    <x v="4"/>
    <x v="5"/>
    <n v="178"/>
  </r>
  <r>
    <x v="0"/>
    <x v="5"/>
    <x v="9"/>
    <n v="189"/>
  </r>
  <r>
    <x v="0"/>
    <x v="6"/>
    <x v="5"/>
    <n v="405"/>
  </r>
  <r>
    <x v="0"/>
    <x v="8"/>
    <x v="1"/>
    <n v="895"/>
  </r>
  <r>
    <x v="0"/>
    <x v="9"/>
    <x v="11"/>
    <n v="1165"/>
  </r>
  <r>
    <x v="0"/>
    <x v="9"/>
    <x v="9"/>
    <n v="812"/>
  </r>
  <r>
    <x v="0"/>
    <x v="20"/>
    <x v="10"/>
    <n v="1076"/>
  </r>
  <r>
    <x v="0"/>
    <x v="20"/>
    <x v="6"/>
    <n v="983"/>
  </r>
  <r>
    <x v="0"/>
    <x v="24"/>
    <x v="4"/>
    <n v="930"/>
  </r>
  <r>
    <x v="0"/>
    <x v="24"/>
    <x v="11"/>
    <n v="348"/>
  </r>
  <r>
    <x v="1"/>
    <x v="21"/>
    <x v="3"/>
    <n v="1049"/>
  </r>
  <r>
    <x v="1"/>
    <x v="21"/>
    <x v="4"/>
    <n v="2007"/>
  </r>
  <r>
    <x v="1"/>
    <x v="21"/>
    <x v="11"/>
    <n v="1354"/>
  </r>
  <r>
    <x v="1"/>
    <x v="10"/>
    <x v="4"/>
    <n v="1323"/>
  </r>
  <r>
    <x v="1"/>
    <x v="11"/>
    <x v="5"/>
    <n v="378"/>
  </r>
  <r>
    <x v="1"/>
    <x v="12"/>
    <x v="0"/>
    <n v="2383"/>
  </r>
  <r>
    <x v="1"/>
    <x v="12"/>
    <x v="8"/>
    <n v="2264"/>
  </r>
  <r>
    <x v="1"/>
    <x v="12"/>
    <x v="2"/>
    <n v="924"/>
  </r>
  <r>
    <x v="1"/>
    <x v="22"/>
    <x v="7"/>
    <n v="1278"/>
  </r>
  <r>
    <x v="1"/>
    <x v="13"/>
    <x v="7"/>
    <n v="1098"/>
  </r>
  <r>
    <x v="1"/>
    <x v="13"/>
    <x v="8"/>
    <n v="1945"/>
  </r>
  <r>
    <x v="1"/>
    <x v="14"/>
    <x v="5"/>
    <n v="1708"/>
  </r>
  <r>
    <x v="1"/>
    <x v="14"/>
    <x v="8"/>
    <n v="1958"/>
  </r>
  <r>
    <x v="1"/>
    <x v="15"/>
    <x v="9"/>
    <n v="1112"/>
  </r>
  <r>
    <x v="1"/>
    <x v="18"/>
    <x v="5"/>
    <n v="664"/>
  </r>
  <r>
    <x v="1"/>
    <x v="23"/>
    <x v="4"/>
    <n v="1856"/>
  </r>
  <r>
    <x v="2"/>
    <x v="19"/>
    <x v="7"/>
    <n v="19"/>
  </r>
  <r>
    <x v="0"/>
    <x v="0"/>
    <x v="3"/>
    <n v="303"/>
  </r>
  <r>
    <x v="0"/>
    <x v="1"/>
    <x v="10"/>
    <n v="1227"/>
  </r>
  <r>
    <x v="0"/>
    <x v="1"/>
    <x v="5"/>
    <n v="844"/>
  </r>
  <r>
    <x v="0"/>
    <x v="2"/>
    <x v="3"/>
    <n v="747"/>
  </r>
  <r>
    <x v="0"/>
    <x v="2"/>
    <x v="6"/>
    <n v="1291"/>
  </r>
  <r>
    <x v="0"/>
    <x v="3"/>
    <x v="0"/>
    <n v="866"/>
  </r>
  <r>
    <x v="0"/>
    <x v="3"/>
    <x v="5"/>
    <n v="220"/>
  </r>
  <r>
    <x v="0"/>
    <x v="3"/>
    <x v="8"/>
    <n v="84"/>
  </r>
  <r>
    <x v="0"/>
    <x v="5"/>
    <x v="5"/>
    <n v="234"/>
  </r>
  <r>
    <x v="0"/>
    <x v="7"/>
    <x v="10"/>
    <n v="921"/>
  </r>
  <r>
    <x v="0"/>
    <x v="7"/>
    <x v="7"/>
    <n v="391"/>
  </r>
  <r>
    <x v="0"/>
    <x v="8"/>
    <x v="6"/>
    <n v="1207"/>
  </r>
  <r>
    <x v="0"/>
    <x v="9"/>
    <x v="3"/>
    <n v="553"/>
  </r>
  <r>
    <x v="0"/>
    <x v="9"/>
    <x v="6"/>
    <n v="1272"/>
  </r>
  <r>
    <x v="0"/>
    <x v="20"/>
    <x v="4"/>
    <n v="1177"/>
  </r>
  <r>
    <x v="0"/>
    <x v="20"/>
    <x v="1"/>
    <n v="765"/>
  </r>
  <r>
    <x v="0"/>
    <x v="24"/>
    <x v="0"/>
    <n v="1004"/>
  </r>
  <r>
    <x v="0"/>
    <x v="24"/>
    <x v="10"/>
    <n v="703"/>
  </r>
  <r>
    <x v="0"/>
    <x v="24"/>
    <x v="7"/>
    <n v="132"/>
  </r>
  <r>
    <x v="0"/>
    <x v="24"/>
    <x v="8"/>
    <n v="147"/>
  </r>
  <r>
    <x v="0"/>
    <x v="24"/>
    <x v="2"/>
    <n v="489"/>
  </r>
  <r>
    <x v="1"/>
    <x v="21"/>
    <x v="0"/>
    <n v="2002"/>
  </r>
  <r>
    <x v="1"/>
    <x v="21"/>
    <x v="7"/>
    <n v="1019"/>
  </r>
  <r>
    <x v="1"/>
    <x v="21"/>
    <x v="2"/>
    <n v="818"/>
  </r>
  <r>
    <x v="1"/>
    <x v="10"/>
    <x v="10"/>
    <n v="1061"/>
  </r>
  <r>
    <x v="1"/>
    <x v="11"/>
    <x v="1"/>
    <n v="379"/>
  </r>
  <r>
    <x v="1"/>
    <x v="11"/>
    <x v="9"/>
    <n v="295"/>
  </r>
  <r>
    <x v="1"/>
    <x v="12"/>
    <x v="10"/>
    <n v="1953"/>
  </r>
  <r>
    <x v="1"/>
    <x v="12"/>
    <x v="11"/>
    <n v="1638"/>
  </r>
  <r>
    <x v="1"/>
    <x v="12"/>
    <x v="7"/>
    <n v="1171"/>
  </r>
  <r>
    <x v="1"/>
    <x v="22"/>
    <x v="0"/>
    <n v="2711"/>
  </r>
  <r>
    <x v="1"/>
    <x v="22"/>
    <x v="5"/>
    <n v="1688"/>
  </r>
  <r>
    <x v="1"/>
    <x v="22"/>
    <x v="8"/>
    <n v="2275"/>
  </r>
  <r>
    <x v="1"/>
    <x v="13"/>
    <x v="0"/>
    <n v="2802"/>
  </r>
  <r>
    <x v="1"/>
    <x v="13"/>
    <x v="4"/>
    <n v="2735"/>
  </r>
  <r>
    <x v="1"/>
    <x v="13"/>
    <x v="2"/>
    <n v="1144"/>
  </r>
  <r>
    <x v="1"/>
    <x v="14"/>
    <x v="10"/>
    <n v="2860"/>
  </r>
  <r>
    <x v="1"/>
    <x v="16"/>
    <x v="9"/>
    <n v="754"/>
  </r>
  <r>
    <x v="1"/>
    <x v="16"/>
    <x v="7"/>
    <n v="562"/>
  </r>
  <r>
    <x v="1"/>
    <x v="17"/>
    <x v="4"/>
    <n v="1635"/>
  </r>
  <r>
    <x v="1"/>
    <x v="23"/>
    <x v="3"/>
    <n v="977"/>
  </r>
  <r>
    <x v="1"/>
    <x v="23"/>
    <x v="0"/>
    <n v="1966"/>
  </r>
  <r>
    <x v="1"/>
    <x v="23"/>
    <x v="8"/>
    <n v="2108"/>
  </r>
  <r>
    <x v="1"/>
    <x v="23"/>
    <x v="2"/>
    <n v="732"/>
  </r>
  <r>
    <x v="2"/>
    <x v="19"/>
    <x v="3"/>
    <n v="23"/>
  </r>
  <r>
    <x v="2"/>
    <x v="19"/>
    <x v="11"/>
    <n v="27"/>
  </r>
  <r>
    <x v="0"/>
    <x v="0"/>
    <x v="4"/>
    <n v="851"/>
  </r>
  <r>
    <x v="0"/>
    <x v="2"/>
    <x v="0"/>
    <n v="1565"/>
  </r>
  <r>
    <x v="0"/>
    <x v="2"/>
    <x v="8"/>
    <n v="1927"/>
  </r>
  <r>
    <x v="0"/>
    <x v="2"/>
    <x v="2"/>
    <n v="647"/>
  </r>
  <r>
    <x v="0"/>
    <x v="3"/>
    <x v="3"/>
    <n v="236"/>
  </r>
  <r>
    <x v="0"/>
    <x v="3"/>
    <x v="2"/>
    <n v="404"/>
  </r>
  <r>
    <x v="0"/>
    <x v="5"/>
    <x v="0"/>
    <n v="537"/>
  </r>
  <r>
    <x v="0"/>
    <x v="5"/>
    <x v="8"/>
    <n v="137"/>
  </r>
  <r>
    <x v="0"/>
    <x v="5"/>
    <x v="2"/>
    <n v="246"/>
  </r>
  <r>
    <x v="0"/>
    <x v="6"/>
    <x v="7"/>
    <n v="305"/>
  </r>
  <r>
    <x v="0"/>
    <x v="7"/>
    <x v="1"/>
    <n v="601"/>
  </r>
  <r>
    <x v="0"/>
    <x v="9"/>
    <x v="0"/>
    <n v="1301"/>
  </r>
  <r>
    <x v="0"/>
    <x v="9"/>
    <x v="10"/>
    <n v="1496"/>
  </r>
  <r>
    <x v="0"/>
    <x v="9"/>
    <x v="8"/>
    <n v="1047"/>
  </r>
  <r>
    <x v="0"/>
    <x v="9"/>
    <x v="2"/>
    <n v="562"/>
  </r>
  <r>
    <x v="0"/>
    <x v="20"/>
    <x v="3"/>
    <n v="441"/>
  </r>
  <r>
    <x v="0"/>
    <x v="24"/>
    <x v="6"/>
    <n v="461"/>
  </r>
  <r>
    <x v="0"/>
    <x v="24"/>
    <x v="9"/>
    <n v="193"/>
  </r>
  <r>
    <x v="1"/>
    <x v="21"/>
    <x v="10"/>
    <n v="1778"/>
  </r>
  <r>
    <x v="1"/>
    <x v="21"/>
    <x v="6"/>
    <n v="1503"/>
  </r>
  <r>
    <x v="1"/>
    <x v="21"/>
    <x v="9"/>
    <n v="1233"/>
  </r>
  <r>
    <x v="1"/>
    <x v="10"/>
    <x v="3"/>
    <n v="739"/>
  </r>
  <r>
    <x v="1"/>
    <x v="10"/>
    <x v="6"/>
    <n v="772"/>
  </r>
  <r>
    <x v="1"/>
    <x v="11"/>
    <x v="7"/>
    <n v="208"/>
  </r>
  <r>
    <x v="1"/>
    <x v="12"/>
    <x v="9"/>
    <n v="1353"/>
  </r>
  <r>
    <x v="1"/>
    <x v="13"/>
    <x v="5"/>
    <n v="1631"/>
  </r>
  <r>
    <x v="1"/>
    <x v="14"/>
    <x v="7"/>
    <n v="1221"/>
  </r>
  <r>
    <x v="1"/>
    <x v="15"/>
    <x v="0"/>
    <n v="2564"/>
  </r>
  <r>
    <x v="1"/>
    <x v="15"/>
    <x v="11"/>
    <n v="1493"/>
  </r>
  <r>
    <x v="1"/>
    <x v="15"/>
    <x v="5"/>
    <n v="1351"/>
  </r>
  <r>
    <x v="1"/>
    <x v="15"/>
    <x v="8"/>
    <n v="1417"/>
  </r>
  <r>
    <x v="1"/>
    <x v="15"/>
    <x v="2"/>
    <n v="1156"/>
  </r>
  <r>
    <x v="1"/>
    <x v="16"/>
    <x v="0"/>
    <n v="1910"/>
  </r>
  <r>
    <x v="1"/>
    <x v="16"/>
    <x v="8"/>
    <n v="890"/>
  </r>
  <r>
    <x v="1"/>
    <x v="17"/>
    <x v="3"/>
    <n v="958"/>
  </r>
  <r>
    <x v="1"/>
    <x v="17"/>
    <x v="1"/>
    <n v="699"/>
  </r>
  <r>
    <x v="1"/>
    <x v="18"/>
    <x v="7"/>
    <n v="417"/>
  </r>
  <r>
    <x v="1"/>
    <x v="23"/>
    <x v="6"/>
    <n v="1434"/>
  </r>
  <r>
    <x v="2"/>
    <x v="19"/>
    <x v="5"/>
    <n v="19"/>
  </r>
  <r>
    <x v="0"/>
    <x v="0"/>
    <x v="10"/>
    <n v="591"/>
  </r>
  <r>
    <x v="0"/>
    <x v="0"/>
    <x v="7"/>
    <n v="99"/>
  </r>
  <r>
    <x v="0"/>
    <x v="0"/>
    <x v="8"/>
    <n v="103"/>
  </r>
  <r>
    <x v="0"/>
    <x v="1"/>
    <x v="6"/>
    <n v="1124"/>
  </r>
  <r>
    <x v="0"/>
    <x v="1"/>
    <x v="9"/>
    <n v="849"/>
  </r>
  <r>
    <x v="0"/>
    <x v="2"/>
    <x v="10"/>
    <n v="1450"/>
  </r>
  <r>
    <x v="0"/>
    <x v="2"/>
    <x v="7"/>
    <n v="879"/>
  </r>
  <r>
    <x v="0"/>
    <x v="3"/>
    <x v="4"/>
    <n v="846"/>
  </r>
  <r>
    <x v="0"/>
    <x v="3"/>
    <x v="11"/>
    <n v="289"/>
  </r>
  <r>
    <x v="0"/>
    <x v="4"/>
    <x v="0"/>
    <n v="581"/>
  </r>
  <r>
    <x v="0"/>
    <x v="4"/>
    <x v="10"/>
    <n v="395"/>
  </r>
  <r>
    <x v="0"/>
    <x v="4"/>
    <x v="2"/>
    <n v="249"/>
  </r>
  <r>
    <x v="0"/>
    <x v="5"/>
    <x v="4"/>
    <n v="517"/>
  </r>
  <r>
    <x v="0"/>
    <x v="6"/>
    <x v="1"/>
    <n v="423"/>
  </r>
  <r>
    <x v="0"/>
    <x v="6"/>
    <x v="8"/>
    <n v="283"/>
  </r>
  <r>
    <x v="0"/>
    <x v="7"/>
    <x v="3"/>
    <n v="333"/>
  </r>
  <r>
    <x v="0"/>
    <x v="7"/>
    <x v="6"/>
    <n v="774"/>
  </r>
  <r>
    <x v="0"/>
    <x v="8"/>
    <x v="5"/>
    <n v="935"/>
  </r>
  <r>
    <x v="0"/>
    <x v="8"/>
    <x v="8"/>
    <n v="780"/>
  </r>
  <r>
    <x v="0"/>
    <x v="9"/>
    <x v="5"/>
    <n v="974"/>
  </r>
  <r>
    <x v="0"/>
    <x v="20"/>
    <x v="11"/>
    <n v="863"/>
  </r>
  <r>
    <x v="0"/>
    <x v="24"/>
    <x v="3"/>
    <n v="409"/>
  </r>
  <r>
    <x v="1"/>
    <x v="10"/>
    <x v="0"/>
    <n v="1502"/>
  </r>
  <r>
    <x v="1"/>
    <x v="10"/>
    <x v="1"/>
    <n v="489"/>
  </r>
  <r>
    <x v="1"/>
    <x v="10"/>
    <x v="9"/>
    <n v="370"/>
  </r>
  <r>
    <x v="1"/>
    <x v="10"/>
    <x v="2"/>
    <n v="846"/>
  </r>
  <r>
    <x v="1"/>
    <x v="12"/>
    <x v="4"/>
    <n v="2164"/>
  </r>
  <r>
    <x v="1"/>
    <x v="22"/>
    <x v="3"/>
    <n v="1540"/>
  </r>
  <r>
    <x v="1"/>
    <x v="14"/>
    <x v="0"/>
    <n v="3054"/>
  </r>
  <r>
    <x v="1"/>
    <x v="14"/>
    <x v="9"/>
    <n v="1519"/>
  </r>
  <r>
    <x v="1"/>
    <x v="14"/>
    <x v="2"/>
    <n v="1366"/>
  </r>
  <r>
    <x v="1"/>
    <x v="15"/>
    <x v="3"/>
    <n v="1234"/>
  </r>
  <r>
    <x v="1"/>
    <x v="15"/>
    <x v="6"/>
    <n v="1773"/>
  </r>
  <r>
    <x v="1"/>
    <x v="17"/>
    <x v="10"/>
    <n v="1374"/>
  </r>
  <r>
    <x v="1"/>
    <x v="17"/>
    <x v="11"/>
    <n v="948"/>
  </r>
  <r>
    <x v="1"/>
    <x v="17"/>
    <x v="7"/>
    <n v="458"/>
  </r>
  <r>
    <x v="1"/>
    <x v="18"/>
    <x v="1"/>
    <n v="576"/>
  </r>
  <r>
    <x v="1"/>
    <x v="18"/>
    <x v="8"/>
    <n v="500"/>
  </r>
  <r>
    <x v="1"/>
    <x v="23"/>
    <x v="10"/>
    <n v="1755"/>
  </r>
  <r>
    <x v="1"/>
    <x v="23"/>
    <x v="11"/>
    <n v="1259"/>
  </r>
  <r>
    <x v="2"/>
    <x v="19"/>
    <x v="1"/>
    <n v="28"/>
  </r>
  <r>
    <x v="2"/>
    <x v="19"/>
    <x v="8"/>
    <n v="26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">
  <r>
    <x v="0"/>
    <x v="0"/>
    <n v="3"/>
  </r>
  <r>
    <x v="1"/>
    <x v="0"/>
    <n v="29"/>
  </r>
  <r>
    <x v="2"/>
    <x v="0"/>
    <n v="9"/>
  </r>
  <r>
    <x v="3"/>
    <x v="0"/>
    <n v="6"/>
  </r>
  <r>
    <x v="4"/>
    <x v="1"/>
    <n v="2"/>
  </r>
  <r>
    <x v="5"/>
    <x v="1"/>
    <n v="78"/>
  </r>
  <r>
    <x v="6"/>
    <x v="2"/>
    <n v="3"/>
  </r>
  <r>
    <x v="1"/>
    <x v="2"/>
    <n v="2"/>
  </r>
  <r>
    <x v="3"/>
    <x v="2"/>
    <n v="1"/>
  </r>
  <r>
    <x v="7"/>
    <x v="3"/>
    <n v="6"/>
  </r>
  <r>
    <x v="8"/>
    <x v="3"/>
    <n v="8"/>
  </r>
  <r>
    <x v="4"/>
    <x v="4"/>
    <n v="2"/>
  </r>
  <r>
    <x v="4"/>
    <x v="5"/>
    <n v="5"/>
  </r>
  <r>
    <x v="5"/>
    <x v="5"/>
    <n v="4"/>
  </r>
  <r>
    <x v="8"/>
    <x v="6"/>
    <n v="28"/>
  </r>
  <r>
    <x v="9"/>
    <x v="6"/>
    <n v="22"/>
  </r>
  <r>
    <x v="10"/>
    <x v="0"/>
    <n v="7"/>
  </r>
  <r>
    <x v="11"/>
    <x v="1"/>
    <n v="6"/>
  </r>
  <r>
    <x v="12"/>
    <x v="1"/>
    <n v="1"/>
  </r>
  <r>
    <x v="13"/>
    <x v="7"/>
    <n v="1"/>
  </r>
  <r>
    <x v="14"/>
    <x v="7"/>
    <n v="195"/>
  </r>
  <r>
    <x v="15"/>
    <x v="7"/>
    <n v="6"/>
  </r>
  <r>
    <x v="7"/>
    <x v="2"/>
    <n v="1"/>
  </r>
  <r>
    <x v="16"/>
    <x v="2"/>
    <n v="5"/>
  </r>
  <r>
    <x v="2"/>
    <x v="3"/>
    <n v="3"/>
  </r>
  <r>
    <x v="10"/>
    <x v="3"/>
    <n v="78"/>
  </r>
  <r>
    <x v="11"/>
    <x v="4"/>
    <n v="1"/>
  </r>
  <r>
    <x v="12"/>
    <x v="4"/>
    <n v="1"/>
  </r>
  <r>
    <x v="16"/>
    <x v="5"/>
    <n v="9"/>
  </r>
  <r>
    <x v="2"/>
    <x v="6"/>
    <n v="4"/>
  </r>
  <r>
    <x v="10"/>
    <x v="6"/>
    <n v="5"/>
  </r>
  <r>
    <x v="3"/>
    <x v="6"/>
    <n v="9"/>
  </r>
  <r>
    <x v="7"/>
    <x v="0"/>
    <n v="10"/>
  </r>
  <r>
    <x v="8"/>
    <x v="0"/>
    <n v="232"/>
  </r>
  <r>
    <x v="1"/>
    <x v="7"/>
    <n v="1"/>
  </r>
  <r>
    <x v="2"/>
    <x v="7"/>
    <n v="7"/>
  </r>
  <r>
    <x v="10"/>
    <x v="7"/>
    <n v="267"/>
  </r>
  <r>
    <x v="3"/>
    <x v="7"/>
    <n v="6"/>
  </r>
  <r>
    <x v="8"/>
    <x v="4"/>
    <n v="10"/>
  </r>
  <r>
    <x v="6"/>
    <x v="6"/>
    <n v="9"/>
  </r>
  <r>
    <x v="16"/>
    <x v="6"/>
    <n v="10"/>
  </r>
  <r>
    <x v="13"/>
    <x v="6"/>
    <n v="1"/>
  </r>
  <r>
    <x v="14"/>
    <x v="6"/>
    <n v="15"/>
  </r>
  <r>
    <x v="15"/>
    <x v="6"/>
    <n v="17"/>
  </r>
  <r>
    <x v="6"/>
    <x v="0"/>
    <n v="2"/>
  </r>
  <r>
    <x v="13"/>
    <x v="0"/>
    <n v="1"/>
  </r>
  <r>
    <x v="14"/>
    <x v="0"/>
    <n v="24"/>
  </r>
  <r>
    <x v="15"/>
    <x v="0"/>
    <n v="59"/>
  </r>
  <r>
    <x v="7"/>
    <x v="1"/>
    <n v="171"/>
  </r>
  <r>
    <x v="14"/>
    <x v="1"/>
    <n v="35"/>
  </r>
  <r>
    <x v="0"/>
    <x v="7"/>
    <n v="5"/>
  </r>
  <r>
    <x v="17"/>
    <x v="7"/>
    <n v="328"/>
  </r>
  <r>
    <x v="8"/>
    <x v="2"/>
    <n v="4"/>
  </r>
  <r>
    <x v="11"/>
    <x v="2"/>
    <n v="5"/>
  </r>
  <r>
    <x v="9"/>
    <x v="2"/>
    <n v="3"/>
  </r>
  <r>
    <x v="6"/>
    <x v="3"/>
    <n v="1"/>
  </r>
  <r>
    <x v="4"/>
    <x v="3"/>
    <n v="2"/>
  </r>
  <r>
    <x v="18"/>
    <x v="3"/>
    <n v="1"/>
  </r>
  <r>
    <x v="1"/>
    <x v="3"/>
    <n v="1"/>
  </r>
  <r>
    <x v="3"/>
    <x v="3"/>
    <n v="7"/>
  </r>
  <r>
    <x v="9"/>
    <x v="5"/>
    <n v="33"/>
  </r>
  <r>
    <x v="0"/>
    <x v="6"/>
    <n v="5"/>
  </r>
  <r>
    <x v="9"/>
    <x v="0"/>
    <n v="9"/>
  </r>
  <r>
    <x v="8"/>
    <x v="1"/>
    <n v="33"/>
  </r>
  <r>
    <x v="9"/>
    <x v="1"/>
    <n v="4"/>
  </r>
  <r>
    <x v="17"/>
    <x v="1"/>
    <n v="541"/>
  </r>
  <r>
    <x v="7"/>
    <x v="7"/>
    <n v="13"/>
  </r>
  <r>
    <x v="16"/>
    <x v="7"/>
    <n v="6"/>
  </r>
  <r>
    <x v="5"/>
    <x v="3"/>
    <n v="1"/>
  </r>
  <r>
    <x v="0"/>
    <x v="4"/>
    <n v="14"/>
  </r>
  <r>
    <x v="18"/>
    <x v="4"/>
    <n v="2"/>
  </r>
  <r>
    <x v="17"/>
    <x v="4"/>
    <n v="576"/>
  </r>
  <r>
    <x v="7"/>
    <x v="5"/>
    <n v="23"/>
  </r>
  <r>
    <x v="14"/>
    <x v="5"/>
    <n v="16"/>
  </r>
  <r>
    <x v="15"/>
    <x v="5"/>
    <n v="19"/>
  </r>
  <r>
    <x v="7"/>
    <x v="6"/>
    <n v="2"/>
  </r>
  <r>
    <x v="16"/>
    <x v="1"/>
    <n v="2"/>
  </r>
  <r>
    <x v="11"/>
    <x v="7"/>
    <n v="2"/>
  </r>
  <r>
    <x v="9"/>
    <x v="7"/>
    <n v="204"/>
  </r>
  <r>
    <x v="17"/>
    <x v="2"/>
    <n v="90"/>
  </r>
  <r>
    <x v="10"/>
    <x v="2"/>
    <n v="1"/>
  </r>
  <r>
    <x v="0"/>
    <x v="3"/>
    <n v="1"/>
  </r>
  <r>
    <x v="2"/>
    <x v="4"/>
    <n v="6"/>
  </r>
  <r>
    <x v="8"/>
    <x v="5"/>
    <n v="15"/>
  </r>
  <r>
    <x v="17"/>
    <x v="5"/>
    <n v="228"/>
  </r>
  <r>
    <x v="11"/>
    <x v="6"/>
    <n v="13"/>
  </r>
  <r>
    <x v="5"/>
    <x v="6"/>
    <n v="1"/>
  </r>
  <r>
    <x v="16"/>
    <x v="0"/>
    <n v="14"/>
  </r>
  <r>
    <x v="11"/>
    <x v="0"/>
    <n v="3"/>
  </r>
  <r>
    <x v="0"/>
    <x v="1"/>
    <n v="6"/>
  </r>
  <r>
    <x v="5"/>
    <x v="7"/>
    <n v="5"/>
  </r>
  <r>
    <x v="14"/>
    <x v="2"/>
    <n v="6"/>
  </r>
  <r>
    <x v="15"/>
    <x v="2"/>
    <n v="7"/>
  </r>
  <r>
    <x v="16"/>
    <x v="3"/>
    <n v="2"/>
  </r>
  <r>
    <x v="11"/>
    <x v="3"/>
    <n v="2"/>
  </r>
  <r>
    <x v="9"/>
    <x v="3"/>
    <n v="65"/>
  </r>
  <r>
    <x v="16"/>
    <x v="4"/>
    <n v="6"/>
  </r>
  <r>
    <x v="9"/>
    <x v="4"/>
    <n v="34"/>
  </r>
  <r>
    <x v="14"/>
    <x v="4"/>
    <n v="11"/>
  </r>
  <r>
    <x v="10"/>
    <x v="4"/>
    <n v="7"/>
  </r>
  <r>
    <x v="3"/>
    <x v="4"/>
    <n v="79"/>
  </r>
  <r>
    <x v="15"/>
    <x v="4"/>
    <n v="167"/>
  </r>
  <r>
    <x v="18"/>
    <x v="5"/>
    <n v="5"/>
  </r>
  <r>
    <x v="1"/>
    <x v="5"/>
    <n v="2"/>
  </r>
  <r>
    <x v="3"/>
    <x v="5"/>
    <n v="5"/>
  </r>
  <r>
    <x v="4"/>
    <x v="6"/>
    <n v="1"/>
  </r>
  <r>
    <x v="19"/>
    <x v="6"/>
    <n v="2"/>
  </r>
  <r>
    <x v="17"/>
    <x v="6"/>
    <n v="1076"/>
  </r>
  <r>
    <x v="4"/>
    <x v="0"/>
    <n v="41"/>
  </r>
  <r>
    <x v="12"/>
    <x v="0"/>
    <n v="1"/>
  </r>
  <r>
    <x v="17"/>
    <x v="0"/>
    <n v="883"/>
  </r>
  <r>
    <x v="5"/>
    <x v="0"/>
    <n v="4"/>
  </r>
  <r>
    <x v="1"/>
    <x v="1"/>
    <n v="1"/>
  </r>
  <r>
    <x v="2"/>
    <x v="1"/>
    <n v="29"/>
  </r>
  <r>
    <x v="10"/>
    <x v="1"/>
    <n v="13"/>
  </r>
  <r>
    <x v="3"/>
    <x v="1"/>
    <n v="1"/>
  </r>
  <r>
    <x v="15"/>
    <x v="1"/>
    <n v="18"/>
  </r>
  <r>
    <x v="4"/>
    <x v="7"/>
    <n v="1"/>
  </r>
  <r>
    <x v="8"/>
    <x v="7"/>
    <n v="11"/>
  </r>
  <r>
    <x v="5"/>
    <x v="2"/>
    <n v="2"/>
  </r>
  <r>
    <x v="14"/>
    <x v="3"/>
    <n v="61"/>
  </r>
  <r>
    <x v="17"/>
    <x v="3"/>
    <n v="109"/>
  </r>
  <r>
    <x v="15"/>
    <x v="3"/>
    <n v="1"/>
  </r>
  <r>
    <x v="0"/>
    <x v="5"/>
    <n v="33"/>
  </r>
  <r>
    <x v="2"/>
    <x v="5"/>
    <n v="17"/>
  </r>
  <r>
    <x v="10"/>
    <x v="5"/>
    <n v="2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1">
  <r>
    <x v="0"/>
    <x v="0"/>
    <x v="0"/>
    <n v="67"/>
    <n v="30"/>
  </r>
  <r>
    <x v="0"/>
    <x v="0"/>
    <x v="1"/>
    <n v="73"/>
    <n v="23"/>
  </r>
  <r>
    <x v="1"/>
    <x v="1"/>
    <x v="0"/>
    <n v="1532"/>
    <n v="525"/>
  </r>
  <r>
    <x v="1"/>
    <x v="0"/>
    <x v="2"/>
    <n v="1702"/>
    <n v="1135"/>
  </r>
  <r>
    <x v="1"/>
    <x v="0"/>
    <x v="3"/>
    <n v="2834"/>
    <n v="1229"/>
  </r>
  <r>
    <x v="1"/>
    <x v="0"/>
    <x v="0"/>
    <n v="2398"/>
    <n v="965"/>
  </r>
  <r>
    <x v="1"/>
    <x v="0"/>
    <x v="1"/>
    <n v="2128"/>
    <n v="870"/>
  </r>
  <r>
    <x v="1"/>
    <x v="0"/>
    <x v="4"/>
    <n v="652"/>
    <n v="430"/>
  </r>
  <r>
    <x v="1"/>
    <x v="2"/>
    <x v="5"/>
    <n v="1"/>
    <n v="0"/>
  </r>
  <r>
    <x v="0"/>
    <x v="1"/>
    <x v="2"/>
    <n v="20"/>
    <n v="11"/>
  </r>
  <r>
    <x v="0"/>
    <x v="1"/>
    <x v="6"/>
    <n v="45"/>
    <n v="25"/>
  </r>
  <r>
    <x v="0"/>
    <x v="1"/>
    <x v="3"/>
    <n v="19"/>
    <n v="6"/>
  </r>
  <r>
    <x v="0"/>
    <x v="1"/>
    <x v="0"/>
    <n v="18"/>
    <n v="4"/>
  </r>
  <r>
    <x v="0"/>
    <x v="1"/>
    <x v="1"/>
    <n v="14"/>
    <n v="6"/>
  </r>
  <r>
    <x v="0"/>
    <x v="0"/>
    <x v="7"/>
    <n v="124"/>
    <n v="77"/>
  </r>
  <r>
    <x v="0"/>
    <x v="0"/>
    <x v="8"/>
    <n v="108"/>
    <n v="61"/>
  </r>
  <r>
    <x v="0"/>
    <x v="0"/>
    <x v="9"/>
    <n v="54"/>
    <n v="24"/>
  </r>
  <r>
    <x v="0"/>
    <x v="0"/>
    <x v="10"/>
    <n v="69"/>
    <n v="32"/>
  </r>
  <r>
    <x v="0"/>
    <x v="3"/>
    <x v="11"/>
    <n v="312"/>
    <n v="93"/>
  </r>
  <r>
    <x v="1"/>
    <x v="1"/>
    <x v="2"/>
    <n v="1273"/>
    <n v="812"/>
  </r>
  <r>
    <x v="1"/>
    <x v="1"/>
    <x v="12"/>
    <n v="3064"/>
    <n v="1612"/>
  </r>
  <r>
    <x v="1"/>
    <x v="1"/>
    <x v="6"/>
    <n v="2828"/>
    <n v="1309"/>
  </r>
  <r>
    <x v="1"/>
    <x v="1"/>
    <x v="13"/>
    <n v="2120"/>
    <n v="802"/>
  </r>
  <r>
    <x v="1"/>
    <x v="1"/>
    <x v="3"/>
    <n v="1792"/>
    <n v="640"/>
  </r>
  <r>
    <x v="1"/>
    <x v="1"/>
    <x v="14"/>
    <n v="1406"/>
    <n v="485"/>
  </r>
  <r>
    <x v="1"/>
    <x v="1"/>
    <x v="1"/>
    <n v="1173"/>
    <n v="434"/>
  </r>
  <r>
    <x v="1"/>
    <x v="3"/>
    <x v="2"/>
    <n v="23"/>
    <n v="14"/>
  </r>
  <r>
    <x v="1"/>
    <x v="3"/>
    <x v="6"/>
    <n v="17"/>
    <n v="6"/>
  </r>
  <r>
    <x v="1"/>
    <x v="3"/>
    <x v="3"/>
    <n v="17"/>
    <n v="8"/>
  </r>
  <r>
    <x v="1"/>
    <x v="3"/>
    <x v="0"/>
    <n v="16"/>
    <n v="8"/>
  </r>
  <r>
    <x v="1"/>
    <x v="3"/>
    <x v="1"/>
    <n v="11"/>
    <n v="3"/>
  </r>
  <r>
    <x v="1"/>
    <x v="3"/>
    <x v="15"/>
    <n v="12"/>
    <n v="8"/>
  </r>
  <r>
    <x v="1"/>
    <x v="3"/>
    <x v="4"/>
    <n v="10"/>
    <n v="6"/>
  </r>
  <r>
    <x v="1"/>
    <x v="3"/>
    <x v="11"/>
    <n v="13002"/>
    <n v="10260"/>
  </r>
  <r>
    <x v="0"/>
    <x v="1"/>
    <x v="16"/>
    <n v="37"/>
    <n v="20"/>
  </r>
  <r>
    <x v="0"/>
    <x v="1"/>
    <x v="17"/>
    <n v="26"/>
    <n v="10"/>
  </r>
  <r>
    <x v="0"/>
    <x v="1"/>
    <x v="18"/>
    <n v="16"/>
    <n v="3"/>
  </r>
  <r>
    <x v="0"/>
    <x v="0"/>
    <x v="19"/>
    <n v="115"/>
    <n v="65"/>
  </r>
  <r>
    <x v="0"/>
    <x v="0"/>
    <x v="20"/>
    <n v="92"/>
    <n v="47"/>
  </r>
  <r>
    <x v="0"/>
    <x v="0"/>
    <x v="21"/>
    <n v="62"/>
    <n v="28"/>
  </r>
  <r>
    <x v="0"/>
    <x v="0"/>
    <x v="22"/>
    <n v="63"/>
    <n v="21"/>
  </r>
  <r>
    <x v="0"/>
    <x v="0"/>
    <x v="23"/>
    <n v="292"/>
    <n v="127"/>
  </r>
  <r>
    <x v="0"/>
    <x v="0"/>
    <x v="24"/>
    <n v="72"/>
    <n v="45"/>
  </r>
  <r>
    <x v="0"/>
    <x v="0"/>
    <x v="15"/>
    <n v="45"/>
    <n v="26"/>
  </r>
  <r>
    <x v="0"/>
    <x v="0"/>
    <x v="25"/>
    <n v="10"/>
    <n v="6"/>
  </r>
  <r>
    <x v="1"/>
    <x v="1"/>
    <x v="26"/>
    <n v="2840"/>
    <n v="1658"/>
  </r>
  <r>
    <x v="1"/>
    <x v="1"/>
    <x v="5"/>
    <n v="2954"/>
    <n v="1482"/>
  </r>
  <r>
    <x v="1"/>
    <x v="1"/>
    <x v="7"/>
    <n v="2990"/>
    <n v="1478"/>
  </r>
  <r>
    <x v="1"/>
    <x v="1"/>
    <x v="8"/>
    <n v="2209"/>
    <n v="933"/>
  </r>
  <r>
    <x v="1"/>
    <x v="1"/>
    <x v="27"/>
    <n v="2181"/>
    <n v="889"/>
  </r>
  <r>
    <x v="1"/>
    <x v="1"/>
    <x v="28"/>
    <n v="1869"/>
    <n v="662"/>
  </r>
  <r>
    <x v="1"/>
    <x v="1"/>
    <x v="9"/>
    <n v="1597"/>
    <n v="531"/>
  </r>
  <r>
    <x v="1"/>
    <x v="1"/>
    <x v="29"/>
    <n v="1544"/>
    <n v="529"/>
  </r>
  <r>
    <x v="1"/>
    <x v="1"/>
    <x v="10"/>
    <n v="1329"/>
    <n v="471"/>
  </r>
  <r>
    <x v="1"/>
    <x v="0"/>
    <x v="30"/>
    <n v="167"/>
    <n v="127"/>
  </r>
  <r>
    <x v="1"/>
    <x v="0"/>
    <x v="12"/>
    <n v="4637"/>
    <n v="2778"/>
  </r>
  <r>
    <x v="1"/>
    <x v="0"/>
    <x v="6"/>
    <n v="4432"/>
    <n v="2362"/>
  </r>
  <r>
    <x v="1"/>
    <x v="0"/>
    <x v="13"/>
    <n v="3282"/>
    <n v="1488"/>
  </r>
  <r>
    <x v="1"/>
    <x v="0"/>
    <x v="31"/>
    <n v="2558"/>
    <n v="1077"/>
  </r>
  <r>
    <x v="1"/>
    <x v="0"/>
    <x v="14"/>
    <n v="2397"/>
    <n v="910"/>
  </r>
  <r>
    <x v="1"/>
    <x v="0"/>
    <x v="32"/>
    <n v="2335"/>
    <n v="927"/>
  </r>
  <r>
    <x v="1"/>
    <x v="0"/>
    <x v="11"/>
    <n v="2902"/>
    <n v="2233"/>
  </r>
  <r>
    <x v="1"/>
    <x v="2"/>
    <x v="16"/>
    <n v="2"/>
    <n v="2"/>
  </r>
  <r>
    <x v="1"/>
    <x v="2"/>
    <x v="33"/>
    <n v="2"/>
    <n v="0"/>
  </r>
  <r>
    <x v="1"/>
    <x v="2"/>
    <x v="34"/>
    <n v="1"/>
    <n v="0"/>
  </r>
  <r>
    <x v="1"/>
    <x v="2"/>
    <x v="17"/>
    <n v="1"/>
    <n v="1"/>
  </r>
  <r>
    <x v="1"/>
    <x v="3"/>
    <x v="26"/>
    <n v="27"/>
    <n v="18"/>
  </r>
  <r>
    <x v="1"/>
    <x v="3"/>
    <x v="5"/>
    <n v="19"/>
    <n v="11"/>
  </r>
  <r>
    <x v="1"/>
    <x v="3"/>
    <x v="7"/>
    <n v="26"/>
    <n v="16"/>
  </r>
  <r>
    <x v="1"/>
    <x v="3"/>
    <x v="35"/>
    <n v="15"/>
    <n v="7"/>
  </r>
  <r>
    <x v="1"/>
    <x v="3"/>
    <x v="36"/>
    <n v="14"/>
    <n v="6"/>
  </r>
  <r>
    <x v="1"/>
    <x v="3"/>
    <x v="8"/>
    <n v="13"/>
    <n v="6"/>
  </r>
  <r>
    <x v="1"/>
    <x v="3"/>
    <x v="27"/>
    <n v="23"/>
    <n v="10"/>
  </r>
  <r>
    <x v="1"/>
    <x v="3"/>
    <x v="28"/>
    <n v="13"/>
    <n v="3"/>
  </r>
  <r>
    <x v="1"/>
    <x v="3"/>
    <x v="9"/>
    <n v="12"/>
    <n v="7"/>
  </r>
  <r>
    <x v="1"/>
    <x v="3"/>
    <x v="29"/>
    <n v="16"/>
    <n v="6"/>
  </r>
  <r>
    <x v="1"/>
    <x v="3"/>
    <x v="10"/>
    <n v="10"/>
    <n v="5"/>
  </r>
  <r>
    <x v="0"/>
    <x v="1"/>
    <x v="19"/>
    <n v="40"/>
    <n v="19"/>
  </r>
  <r>
    <x v="0"/>
    <x v="1"/>
    <x v="37"/>
    <n v="36"/>
    <n v="12"/>
  </r>
  <r>
    <x v="0"/>
    <x v="1"/>
    <x v="20"/>
    <n v="20"/>
    <n v="8"/>
  </r>
  <r>
    <x v="0"/>
    <x v="1"/>
    <x v="21"/>
    <n v="17"/>
    <n v="4"/>
  </r>
  <r>
    <x v="0"/>
    <x v="1"/>
    <x v="22"/>
    <n v="19"/>
    <n v="9"/>
  </r>
  <r>
    <x v="0"/>
    <x v="1"/>
    <x v="38"/>
    <n v="33"/>
    <n v="19"/>
  </r>
  <r>
    <x v="0"/>
    <x v="1"/>
    <x v="24"/>
    <n v="24"/>
    <n v="12"/>
  </r>
  <r>
    <x v="0"/>
    <x v="1"/>
    <x v="15"/>
    <n v="17"/>
    <n v="11"/>
  </r>
  <r>
    <x v="0"/>
    <x v="1"/>
    <x v="4"/>
    <n v="11"/>
    <n v="10"/>
  </r>
  <r>
    <x v="0"/>
    <x v="2"/>
    <x v="39"/>
    <n v="1"/>
    <n v="0"/>
  </r>
  <r>
    <x v="0"/>
    <x v="2"/>
    <x v="11"/>
    <n v="2"/>
    <n v="0"/>
  </r>
  <r>
    <x v="1"/>
    <x v="1"/>
    <x v="30"/>
    <n v="81"/>
    <n v="62"/>
  </r>
  <r>
    <x v="1"/>
    <x v="1"/>
    <x v="31"/>
    <n v="1692"/>
    <n v="579"/>
  </r>
  <r>
    <x v="1"/>
    <x v="1"/>
    <x v="32"/>
    <n v="1304"/>
    <n v="448"/>
  </r>
  <r>
    <x v="1"/>
    <x v="0"/>
    <x v="40"/>
    <n v="261"/>
    <n v="187"/>
  </r>
  <r>
    <x v="1"/>
    <x v="0"/>
    <x v="41"/>
    <n v="925"/>
    <n v="674"/>
  </r>
  <r>
    <x v="1"/>
    <x v="0"/>
    <x v="26"/>
    <n v="4387"/>
    <n v="2889"/>
  </r>
  <r>
    <x v="1"/>
    <x v="0"/>
    <x v="5"/>
    <n v="4549"/>
    <n v="2740"/>
  </r>
  <r>
    <x v="1"/>
    <x v="0"/>
    <x v="7"/>
    <n v="4499"/>
    <n v="2580"/>
  </r>
  <r>
    <x v="1"/>
    <x v="0"/>
    <x v="35"/>
    <n v="4627"/>
    <n v="2613"/>
  </r>
  <r>
    <x v="1"/>
    <x v="0"/>
    <x v="36"/>
    <n v="3937"/>
    <n v="1985"/>
  </r>
  <r>
    <x v="1"/>
    <x v="0"/>
    <x v="8"/>
    <n v="3704"/>
    <n v="1731"/>
  </r>
  <r>
    <x v="1"/>
    <x v="0"/>
    <x v="27"/>
    <n v="3562"/>
    <n v="1733"/>
  </r>
  <r>
    <x v="1"/>
    <x v="0"/>
    <x v="28"/>
    <n v="3092"/>
    <n v="1388"/>
  </r>
  <r>
    <x v="1"/>
    <x v="0"/>
    <x v="9"/>
    <n v="2509"/>
    <n v="1038"/>
  </r>
  <r>
    <x v="1"/>
    <x v="0"/>
    <x v="29"/>
    <n v="2470"/>
    <n v="985"/>
  </r>
  <r>
    <x v="1"/>
    <x v="0"/>
    <x v="10"/>
    <n v="2401"/>
    <n v="931"/>
  </r>
  <r>
    <x v="1"/>
    <x v="2"/>
    <x v="0"/>
    <n v="1"/>
    <n v="0"/>
  </r>
  <r>
    <x v="1"/>
    <x v="3"/>
    <x v="30"/>
    <n v="3"/>
    <n v="2"/>
  </r>
  <r>
    <x v="1"/>
    <x v="3"/>
    <x v="12"/>
    <n v="23"/>
    <n v="17"/>
  </r>
  <r>
    <x v="1"/>
    <x v="3"/>
    <x v="13"/>
    <n v="20"/>
    <n v="9"/>
  </r>
  <r>
    <x v="1"/>
    <x v="3"/>
    <x v="31"/>
    <n v="9"/>
    <n v="4"/>
  </r>
  <r>
    <x v="1"/>
    <x v="3"/>
    <x v="14"/>
    <n v="15"/>
    <n v="5"/>
  </r>
  <r>
    <x v="1"/>
    <x v="3"/>
    <x v="32"/>
    <n v="6"/>
    <n v="2"/>
  </r>
  <r>
    <x v="0"/>
    <x v="1"/>
    <x v="30"/>
    <n v="3"/>
    <n v="3"/>
  </r>
  <r>
    <x v="0"/>
    <x v="1"/>
    <x v="12"/>
    <n v="46"/>
    <n v="25"/>
  </r>
  <r>
    <x v="0"/>
    <x v="1"/>
    <x v="13"/>
    <n v="35"/>
    <n v="16"/>
  </r>
  <r>
    <x v="0"/>
    <x v="1"/>
    <x v="31"/>
    <n v="22"/>
    <n v="4"/>
  </r>
  <r>
    <x v="0"/>
    <x v="1"/>
    <x v="14"/>
    <n v="17"/>
    <n v="6"/>
  </r>
  <r>
    <x v="0"/>
    <x v="1"/>
    <x v="32"/>
    <n v="14"/>
    <n v="6"/>
  </r>
  <r>
    <x v="0"/>
    <x v="0"/>
    <x v="40"/>
    <n v="9"/>
    <n v="5"/>
  </r>
  <r>
    <x v="0"/>
    <x v="0"/>
    <x v="41"/>
    <n v="15"/>
    <n v="11"/>
  </r>
  <r>
    <x v="0"/>
    <x v="0"/>
    <x v="26"/>
    <n v="119"/>
    <n v="80"/>
  </r>
  <r>
    <x v="0"/>
    <x v="0"/>
    <x v="5"/>
    <n v="130"/>
    <n v="82"/>
  </r>
  <r>
    <x v="0"/>
    <x v="0"/>
    <x v="35"/>
    <n v="113"/>
    <n v="59"/>
  </r>
  <r>
    <x v="0"/>
    <x v="0"/>
    <x v="36"/>
    <n v="92"/>
    <n v="54"/>
  </r>
  <r>
    <x v="0"/>
    <x v="0"/>
    <x v="27"/>
    <n v="101"/>
    <n v="49"/>
  </r>
  <r>
    <x v="0"/>
    <x v="0"/>
    <x v="37"/>
    <n v="95"/>
    <n v="46"/>
  </r>
  <r>
    <x v="0"/>
    <x v="0"/>
    <x v="28"/>
    <n v="70"/>
    <n v="39"/>
  </r>
  <r>
    <x v="0"/>
    <x v="0"/>
    <x v="29"/>
    <n v="76"/>
    <n v="41"/>
  </r>
  <r>
    <x v="1"/>
    <x v="1"/>
    <x v="41"/>
    <n v="634"/>
    <n v="401"/>
  </r>
  <r>
    <x v="1"/>
    <x v="1"/>
    <x v="19"/>
    <n v="2906"/>
    <n v="1551"/>
  </r>
  <r>
    <x v="1"/>
    <x v="1"/>
    <x v="35"/>
    <n v="2880"/>
    <n v="1370"/>
  </r>
  <r>
    <x v="1"/>
    <x v="1"/>
    <x v="36"/>
    <n v="2501"/>
    <n v="1085"/>
  </r>
  <r>
    <x v="1"/>
    <x v="1"/>
    <x v="37"/>
    <n v="2064"/>
    <n v="825"/>
  </r>
  <r>
    <x v="1"/>
    <x v="1"/>
    <x v="20"/>
    <n v="2064"/>
    <n v="774"/>
  </r>
  <r>
    <x v="1"/>
    <x v="1"/>
    <x v="21"/>
    <n v="1583"/>
    <n v="514"/>
  </r>
  <r>
    <x v="1"/>
    <x v="1"/>
    <x v="22"/>
    <n v="1295"/>
    <n v="492"/>
  </r>
  <r>
    <x v="1"/>
    <x v="1"/>
    <x v="38"/>
    <n v="2694"/>
    <n v="1234"/>
  </r>
  <r>
    <x v="1"/>
    <x v="1"/>
    <x v="24"/>
    <n v="1612"/>
    <n v="892"/>
  </r>
  <r>
    <x v="1"/>
    <x v="1"/>
    <x v="4"/>
    <n v="373"/>
    <n v="253"/>
  </r>
  <r>
    <x v="1"/>
    <x v="0"/>
    <x v="16"/>
    <n v="4627"/>
    <n v="2828"/>
  </r>
  <r>
    <x v="1"/>
    <x v="0"/>
    <x v="18"/>
    <n v="2285"/>
    <n v="913"/>
  </r>
  <r>
    <x v="1"/>
    <x v="2"/>
    <x v="42"/>
    <n v="1"/>
    <n v="1"/>
  </r>
  <r>
    <x v="1"/>
    <x v="2"/>
    <x v="43"/>
    <n v="1"/>
    <n v="0"/>
  </r>
  <r>
    <x v="1"/>
    <x v="2"/>
    <x v="11"/>
    <n v="144"/>
    <n v="105"/>
  </r>
  <r>
    <x v="1"/>
    <x v="3"/>
    <x v="41"/>
    <n v="9"/>
    <n v="6"/>
  </r>
  <r>
    <x v="1"/>
    <x v="3"/>
    <x v="19"/>
    <n v="34"/>
    <n v="16"/>
  </r>
  <r>
    <x v="1"/>
    <x v="3"/>
    <x v="37"/>
    <n v="11"/>
    <n v="7"/>
  </r>
  <r>
    <x v="1"/>
    <x v="3"/>
    <x v="20"/>
    <n v="20"/>
    <n v="7"/>
  </r>
  <r>
    <x v="1"/>
    <x v="3"/>
    <x v="21"/>
    <n v="4"/>
    <n v="2"/>
  </r>
  <r>
    <x v="1"/>
    <x v="3"/>
    <x v="22"/>
    <n v="9"/>
    <n v="4"/>
  </r>
  <r>
    <x v="1"/>
    <x v="3"/>
    <x v="23"/>
    <n v="56"/>
    <n v="26"/>
  </r>
  <r>
    <x v="1"/>
    <x v="3"/>
    <x v="24"/>
    <n v="13"/>
    <n v="7"/>
  </r>
  <r>
    <x v="0"/>
    <x v="1"/>
    <x v="40"/>
    <n v="2"/>
    <n v="2"/>
  </r>
  <r>
    <x v="0"/>
    <x v="1"/>
    <x v="44"/>
    <n v="30"/>
    <n v="10"/>
  </r>
  <r>
    <x v="0"/>
    <x v="1"/>
    <x v="45"/>
    <n v="21"/>
    <n v="9"/>
  </r>
  <r>
    <x v="0"/>
    <x v="1"/>
    <x v="23"/>
    <n v="85"/>
    <n v="25"/>
  </r>
  <r>
    <x v="0"/>
    <x v="1"/>
    <x v="25"/>
    <n v="3"/>
    <n v="3"/>
  </r>
  <r>
    <x v="0"/>
    <x v="0"/>
    <x v="16"/>
    <n v="114"/>
    <n v="78"/>
  </r>
  <r>
    <x v="0"/>
    <x v="0"/>
    <x v="33"/>
    <n v="127"/>
    <n v="73"/>
  </r>
  <r>
    <x v="0"/>
    <x v="0"/>
    <x v="34"/>
    <n v="119"/>
    <n v="67"/>
  </r>
  <r>
    <x v="0"/>
    <x v="0"/>
    <x v="17"/>
    <n v="89"/>
    <n v="51"/>
  </r>
  <r>
    <x v="0"/>
    <x v="0"/>
    <x v="46"/>
    <n v="65"/>
    <n v="31"/>
  </r>
  <r>
    <x v="0"/>
    <x v="0"/>
    <x v="18"/>
    <n v="71"/>
    <n v="27"/>
  </r>
  <r>
    <x v="0"/>
    <x v="0"/>
    <x v="38"/>
    <n v="123"/>
    <n v="70"/>
  </r>
  <r>
    <x v="0"/>
    <x v="3"/>
    <x v="47"/>
    <n v="1"/>
    <n v="1"/>
  </r>
  <r>
    <x v="1"/>
    <x v="1"/>
    <x v="40"/>
    <n v="101"/>
    <n v="67"/>
  </r>
  <r>
    <x v="1"/>
    <x v="1"/>
    <x v="23"/>
    <n v="5229"/>
    <n v="1986"/>
  </r>
  <r>
    <x v="1"/>
    <x v="1"/>
    <x v="15"/>
    <n v="891"/>
    <n v="526"/>
  </r>
  <r>
    <x v="1"/>
    <x v="1"/>
    <x v="25"/>
    <n v="127"/>
    <n v="82"/>
  </r>
  <r>
    <x v="1"/>
    <x v="0"/>
    <x v="42"/>
    <n v="3404"/>
    <n v="2308"/>
  </r>
  <r>
    <x v="1"/>
    <x v="0"/>
    <x v="33"/>
    <n v="4496"/>
    <n v="2478"/>
  </r>
  <r>
    <x v="1"/>
    <x v="0"/>
    <x v="39"/>
    <n v="4419"/>
    <n v="2434"/>
  </r>
  <r>
    <x v="1"/>
    <x v="0"/>
    <x v="48"/>
    <n v="4316"/>
    <n v="2316"/>
  </r>
  <r>
    <x v="1"/>
    <x v="0"/>
    <x v="34"/>
    <n v="4194"/>
    <n v="2174"/>
  </r>
  <r>
    <x v="1"/>
    <x v="0"/>
    <x v="17"/>
    <n v="3149"/>
    <n v="1461"/>
  </r>
  <r>
    <x v="1"/>
    <x v="0"/>
    <x v="49"/>
    <n v="2988"/>
    <n v="1366"/>
  </r>
  <r>
    <x v="1"/>
    <x v="0"/>
    <x v="46"/>
    <n v="2384"/>
    <n v="973"/>
  </r>
  <r>
    <x v="1"/>
    <x v="0"/>
    <x v="43"/>
    <n v="2559"/>
    <n v="1022"/>
  </r>
  <r>
    <x v="1"/>
    <x v="0"/>
    <x v="38"/>
    <n v="4074"/>
    <n v="1811"/>
  </r>
  <r>
    <x v="1"/>
    <x v="2"/>
    <x v="23"/>
    <n v="1"/>
    <n v="0"/>
  </r>
  <r>
    <x v="1"/>
    <x v="2"/>
    <x v="24"/>
    <n v="1"/>
    <n v="1"/>
  </r>
  <r>
    <x v="1"/>
    <x v="3"/>
    <x v="40"/>
    <n v="3"/>
    <n v="3"/>
  </r>
  <r>
    <x v="1"/>
    <x v="3"/>
    <x v="44"/>
    <n v="12"/>
    <n v="3"/>
  </r>
  <r>
    <x v="1"/>
    <x v="3"/>
    <x v="45"/>
    <n v="11"/>
    <n v="5"/>
  </r>
  <r>
    <x v="1"/>
    <x v="3"/>
    <x v="25"/>
    <n v="2"/>
    <n v="1"/>
  </r>
  <r>
    <x v="0"/>
    <x v="1"/>
    <x v="41"/>
    <n v="6"/>
    <n v="0"/>
  </r>
  <r>
    <x v="0"/>
    <x v="1"/>
    <x v="26"/>
    <n v="28"/>
    <n v="18"/>
  </r>
  <r>
    <x v="0"/>
    <x v="1"/>
    <x v="5"/>
    <n v="34"/>
    <n v="13"/>
  </r>
  <r>
    <x v="0"/>
    <x v="1"/>
    <x v="7"/>
    <n v="47"/>
    <n v="25"/>
  </r>
  <r>
    <x v="0"/>
    <x v="1"/>
    <x v="35"/>
    <n v="44"/>
    <n v="24"/>
  </r>
  <r>
    <x v="0"/>
    <x v="1"/>
    <x v="36"/>
    <n v="34"/>
    <n v="13"/>
  </r>
  <r>
    <x v="0"/>
    <x v="1"/>
    <x v="8"/>
    <n v="36"/>
    <n v="15"/>
  </r>
  <r>
    <x v="0"/>
    <x v="1"/>
    <x v="27"/>
    <n v="27"/>
    <n v="8"/>
  </r>
  <r>
    <x v="0"/>
    <x v="1"/>
    <x v="28"/>
    <n v="29"/>
    <n v="10"/>
  </r>
  <r>
    <x v="0"/>
    <x v="1"/>
    <x v="9"/>
    <n v="26"/>
    <n v="9"/>
  </r>
  <r>
    <x v="0"/>
    <x v="1"/>
    <x v="29"/>
    <n v="22"/>
    <n v="6"/>
  </r>
  <r>
    <x v="0"/>
    <x v="1"/>
    <x v="10"/>
    <n v="17"/>
    <n v="3"/>
  </r>
  <r>
    <x v="0"/>
    <x v="0"/>
    <x v="30"/>
    <n v="2"/>
    <n v="2"/>
  </r>
  <r>
    <x v="0"/>
    <x v="0"/>
    <x v="2"/>
    <n v="35"/>
    <n v="24"/>
  </r>
  <r>
    <x v="0"/>
    <x v="0"/>
    <x v="12"/>
    <n v="116"/>
    <n v="62"/>
  </r>
  <r>
    <x v="0"/>
    <x v="0"/>
    <x v="6"/>
    <n v="138"/>
    <n v="76"/>
  </r>
  <r>
    <x v="0"/>
    <x v="0"/>
    <x v="13"/>
    <n v="89"/>
    <n v="49"/>
  </r>
  <r>
    <x v="0"/>
    <x v="0"/>
    <x v="3"/>
    <n v="62"/>
    <n v="36"/>
  </r>
  <r>
    <x v="0"/>
    <x v="0"/>
    <x v="31"/>
    <n v="66"/>
    <n v="36"/>
  </r>
  <r>
    <x v="0"/>
    <x v="0"/>
    <x v="14"/>
    <n v="89"/>
    <n v="39"/>
  </r>
  <r>
    <x v="0"/>
    <x v="0"/>
    <x v="32"/>
    <n v="73"/>
    <n v="29"/>
  </r>
  <r>
    <x v="0"/>
    <x v="0"/>
    <x v="4"/>
    <n v="23"/>
    <n v="14"/>
  </r>
  <r>
    <x v="0"/>
    <x v="3"/>
    <x v="41"/>
    <n v="1"/>
    <n v="1"/>
  </r>
  <r>
    <x v="0"/>
    <x v="3"/>
    <x v="5"/>
    <n v="2"/>
    <n v="2"/>
  </r>
  <r>
    <x v="0"/>
    <x v="3"/>
    <x v="35"/>
    <n v="1"/>
    <n v="1"/>
  </r>
  <r>
    <x v="1"/>
    <x v="1"/>
    <x v="16"/>
    <n v="2920"/>
    <n v="1595"/>
  </r>
  <r>
    <x v="1"/>
    <x v="1"/>
    <x v="17"/>
    <n v="2073"/>
    <n v="807"/>
  </r>
  <r>
    <x v="1"/>
    <x v="1"/>
    <x v="46"/>
    <n v="1569"/>
    <n v="571"/>
  </r>
  <r>
    <x v="1"/>
    <x v="1"/>
    <x v="18"/>
    <n v="1360"/>
    <n v="492"/>
  </r>
  <r>
    <x v="1"/>
    <x v="0"/>
    <x v="19"/>
    <n v="4604"/>
    <n v="2852"/>
  </r>
  <r>
    <x v="1"/>
    <x v="0"/>
    <x v="37"/>
    <n v="3142"/>
    <n v="1468"/>
  </r>
  <r>
    <x v="1"/>
    <x v="0"/>
    <x v="20"/>
    <n v="3130"/>
    <n v="1403"/>
  </r>
  <r>
    <x v="1"/>
    <x v="0"/>
    <x v="21"/>
    <n v="2469"/>
    <n v="981"/>
  </r>
  <r>
    <x v="1"/>
    <x v="0"/>
    <x v="22"/>
    <n v="2227"/>
    <n v="842"/>
  </r>
  <r>
    <x v="1"/>
    <x v="0"/>
    <x v="23"/>
    <n v="9135"/>
    <n v="3667"/>
  </r>
  <r>
    <x v="1"/>
    <x v="0"/>
    <x v="24"/>
    <n v="2423"/>
    <n v="1192"/>
  </r>
  <r>
    <x v="1"/>
    <x v="0"/>
    <x v="15"/>
    <n v="1354"/>
    <n v="754"/>
  </r>
  <r>
    <x v="1"/>
    <x v="0"/>
    <x v="25"/>
    <n v="296"/>
    <n v="212"/>
  </r>
  <r>
    <x v="1"/>
    <x v="2"/>
    <x v="7"/>
    <n v="2"/>
    <n v="1"/>
  </r>
  <r>
    <x v="1"/>
    <x v="2"/>
    <x v="8"/>
    <n v="1"/>
    <n v="0"/>
  </r>
  <r>
    <x v="1"/>
    <x v="3"/>
    <x v="16"/>
    <n v="28"/>
    <n v="16"/>
  </r>
  <r>
    <x v="1"/>
    <x v="3"/>
    <x v="17"/>
    <n v="14"/>
    <n v="8"/>
  </r>
  <r>
    <x v="1"/>
    <x v="3"/>
    <x v="46"/>
    <n v="19"/>
    <n v="7"/>
  </r>
  <r>
    <x v="1"/>
    <x v="3"/>
    <x v="18"/>
    <n v="11"/>
    <n v="8"/>
  </r>
  <r>
    <x v="1"/>
    <x v="3"/>
    <x v="38"/>
    <n v="24"/>
    <n v="12"/>
  </r>
  <r>
    <x v="0"/>
    <x v="1"/>
    <x v="42"/>
    <n v="38"/>
    <n v="23"/>
  </r>
  <r>
    <x v="0"/>
    <x v="1"/>
    <x v="50"/>
    <n v="42"/>
    <n v="21"/>
  </r>
  <r>
    <x v="0"/>
    <x v="1"/>
    <x v="33"/>
    <n v="28"/>
    <n v="17"/>
  </r>
  <r>
    <x v="0"/>
    <x v="1"/>
    <x v="39"/>
    <n v="40"/>
    <n v="22"/>
  </r>
  <r>
    <x v="0"/>
    <x v="1"/>
    <x v="48"/>
    <n v="34"/>
    <n v="15"/>
  </r>
  <r>
    <x v="0"/>
    <x v="1"/>
    <x v="34"/>
    <n v="28"/>
    <n v="11"/>
  </r>
  <r>
    <x v="0"/>
    <x v="1"/>
    <x v="51"/>
    <n v="26"/>
    <n v="6"/>
  </r>
  <r>
    <x v="0"/>
    <x v="1"/>
    <x v="49"/>
    <n v="28"/>
    <n v="6"/>
  </r>
  <r>
    <x v="0"/>
    <x v="1"/>
    <x v="52"/>
    <n v="13"/>
    <n v="6"/>
  </r>
  <r>
    <x v="0"/>
    <x v="1"/>
    <x v="46"/>
    <n v="21"/>
    <n v="9"/>
  </r>
  <r>
    <x v="0"/>
    <x v="1"/>
    <x v="43"/>
    <n v="30"/>
    <n v="6"/>
  </r>
  <r>
    <x v="0"/>
    <x v="1"/>
    <x v="47"/>
    <n v="24"/>
    <n v="13"/>
  </r>
  <r>
    <x v="0"/>
    <x v="1"/>
    <x v="53"/>
    <n v="50"/>
    <n v="15"/>
  </r>
  <r>
    <x v="0"/>
    <x v="1"/>
    <x v="11"/>
    <n v="2"/>
    <n v="2"/>
  </r>
  <r>
    <x v="0"/>
    <x v="0"/>
    <x v="42"/>
    <n v="78"/>
    <n v="50"/>
  </r>
  <r>
    <x v="0"/>
    <x v="0"/>
    <x v="50"/>
    <n v="112"/>
    <n v="62"/>
  </r>
  <r>
    <x v="0"/>
    <x v="0"/>
    <x v="39"/>
    <n v="101"/>
    <n v="61"/>
  </r>
  <r>
    <x v="0"/>
    <x v="0"/>
    <x v="48"/>
    <n v="112"/>
    <n v="65"/>
  </r>
  <r>
    <x v="0"/>
    <x v="0"/>
    <x v="51"/>
    <n v="108"/>
    <n v="60"/>
  </r>
  <r>
    <x v="0"/>
    <x v="0"/>
    <x v="49"/>
    <n v="73"/>
    <n v="36"/>
  </r>
  <r>
    <x v="0"/>
    <x v="0"/>
    <x v="44"/>
    <n v="65"/>
    <n v="34"/>
  </r>
  <r>
    <x v="0"/>
    <x v="0"/>
    <x v="52"/>
    <n v="67"/>
    <n v="28"/>
  </r>
  <r>
    <x v="0"/>
    <x v="0"/>
    <x v="43"/>
    <n v="89"/>
    <n v="35"/>
  </r>
  <r>
    <x v="0"/>
    <x v="0"/>
    <x v="47"/>
    <n v="67"/>
    <n v="33"/>
  </r>
  <r>
    <x v="0"/>
    <x v="0"/>
    <x v="45"/>
    <n v="69"/>
    <n v="27"/>
  </r>
  <r>
    <x v="0"/>
    <x v="0"/>
    <x v="53"/>
    <n v="178"/>
    <n v="80"/>
  </r>
  <r>
    <x v="0"/>
    <x v="0"/>
    <x v="11"/>
    <n v="16"/>
    <n v="7"/>
  </r>
  <r>
    <x v="0"/>
    <x v="3"/>
    <x v="33"/>
    <n v="1"/>
    <n v="1"/>
  </r>
  <r>
    <x v="1"/>
    <x v="1"/>
    <x v="42"/>
    <n v="2181"/>
    <n v="1309"/>
  </r>
  <r>
    <x v="1"/>
    <x v="1"/>
    <x v="50"/>
    <n v="2938"/>
    <n v="1443"/>
  </r>
  <r>
    <x v="1"/>
    <x v="1"/>
    <x v="33"/>
    <n v="2797"/>
    <n v="1317"/>
  </r>
  <r>
    <x v="1"/>
    <x v="1"/>
    <x v="39"/>
    <n v="2732"/>
    <n v="1248"/>
  </r>
  <r>
    <x v="1"/>
    <x v="1"/>
    <x v="48"/>
    <n v="2701"/>
    <n v="1217"/>
  </r>
  <r>
    <x v="1"/>
    <x v="1"/>
    <x v="34"/>
    <n v="2628"/>
    <n v="1093"/>
  </r>
  <r>
    <x v="1"/>
    <x v="1"/>
    <x v="51"/>
    <n v="2338"/>
    <n v="996"/>
  </r>
  <r>
    <x v="1"/>
    <x v="1"/>
    <x v="49"/>
    <n v="1890"/>
    <n v="712"/>
  </r>
  <r>
    <x v="1"/>
    <x v="1"/>
    <x v="44"/>
    <n v="1704"/>
    <n v="609"/>
  </r>
  <r>
    <x v="1"/>
    <x v="1"/>
    <x v="52"/>
    <n v="1579"/>
    <n v="501"/>
  </r>
  <r>
    <x v="1"/>
    <x v="1"/>
    <x v="43"/>
    <n v="1627"/>
    <n v="528"/>
  </r>
  <r>
    <x v="1"/>
    <x v="1"/>
    <x v="47"/>
    <n v="1429"/>
    <n v="473"/>
  </r>
  <r>
    <x v="1"/>
    <x v="1"/>
    <x v="45"/>
    <n v="1342"/>
    <n v="462"/>
  </r>
  <r>
    <x v="1"/>
    <x v="1"/>
    <x v="53"/>
    <n v="3845"/>
    <n v="1557"/>
  </r>
  <r>
    <x v="1"/>
    <x v="1"/>
    <x v="11"/>
    <n v="1024"/>
    <n v="711"/>
  </r>
  <r>
    <x v="1"/>
    <x v="0"/>
    <x v="50"/>
    <n v="4638"/>
    <n v="2667"/>
  </r>
  <r>
    <x v="1"/>
    <x v="0"/>
    <x v="51"/>
    <n v="3835"/>
    <n v="1844"/>
  </r>
  <r>
    <x v="1"/>
    <x v="0"/>
    <x v="44"/>
    <n v="2744"/>
    <n v="1156"/>
  </r>
  <r>
    <x v="1"/>
    <x v="0"/>
    <x v="52"/>
    <n v="2391"/>
    <n v="977"/>
  </r>
  <r>
    <x v="1"/>
    <x v="0"/>
    <x v="47"/>
    <n v="2356"/>
    <n v="934"/>
  </r>
  <r>
    <x v="1"/>
    <x v="0"/>
    <x v="45"/>
    <n v="2291"/>
    <n v="892"/>
  </r>
  <r>
    <x v="1"/>
    <x v="0"/>
    <x v="53"/>
    <n v="6281"/>
    <n v="2584"/>
  </r>
  <r>
    <x v="1"/>
    <x v="3"/>
    <x v="42"/>
    <n v="27"/>
    <n v="18"/>
  </r>
  <r>
    <x v="1"/>
    <x v="3"/>
    <x v="50"/>
    <n v="16"/>
    <n v="12"/>
  </r>
  <r>
    <x v="1"/>
    <x v="3"/>
    <x v="33"/>
    <n v="29"/>
    <n v="16"/>
  </r>
  <r>
    <x v="1"/>
    <x v="3"/>
    <x v="39"/>
    <n v="25"/>
    <n v="11"/>
  </r>
  <r>
    <x v="1"/>
    <x v="3"/>
    <x v="48"/>
    <n v="19"/>
    <n v="11"/>
  </r>
  <r>
    <x v="1"/>
    <x v="3"/>
    <x v="34"/>
    <n v="14"/>
    <n v="8"/>
  </r>
  <r>
    <x v="1"/>
    <x v="3"/>
    <x v="51"/>
    <n v="21"/>
    <n v="10"/>
  </r>
  <r>
    <x v="1"/>
    <x v="3"/>
    <x v="49"/>
    <n v="12"/>
    <n v="4"/>
  </r>
  <r>
    <x v="1"/>
    <x v="3"/>
    <x v="52"/>
    <n v="12"/>
    <n v="4"/>
  </r>
  <r>
    <x v="1"/>
    <x v="3"/>
    <x v="43"/>
    <n v="17"/>
    <n v="3"/>
  </r>
  <r>
    <x v="1"/>
    <x v="3"/>
    <x v="47"/>
    <n v="13"/>
    <n v="5"/>
  </r>
  <r>
    <x v="1"/>
    <x v="3"/>
    <x v="53"/>
    <n v="35"/>
    <n v="17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</r>
  <r>
    <x v="1"/>
    <x v="0"/>
    <x v="1"/>
    <x v="1"/>
  </r>
  <r>
    <x v="2"/>
    <x v="0"/>
    <x v="2"/>
    <x v="2"/>
  </r>
  <r>
    <x v="3"/>
    <x v="0"/>
    <x v="3"/>
    <x v="3"/>
  </r>
  <r>
    <x v="4"/>
    <x v="0"/>
    <x v="4"/>
    <x v="4"/>
  </r>
  <r>
    <x v="5"/>
    <x v="0"/>
    <x v="5"/>
    <x v="5"/>
  </r>
  <r>
    <x v="6"/>
    <x v="0"/>
    <x v="6"/>
    <x v="2"/>
  </r>
  <r>
    <x v="7"/>
    <x v="0"/>
    <x v="7"/>
    <x v="6"/>
  </r>
  <r>
    <x v="8"/>
    <x v="0"/>
    <x v="8"/>
    <x v="7"/>
  </r>
  <r>
    <x v="9"/>
    <x v="0"/>
    <x v="9"/>
    <x v="8"/>
  </r>
  <r>
    <x v="10"/>
    <x v="0"/>
    <x v="10"/>
    <x v="9"/>
  </r>
  <r>
    <x v="11"/>
    <x v="0"/>
    <x v="11"/>
    <x v="1"/>
  </r>
  <r>
    <x v="12"/>
    <x v="0"/>
    <x v="12"/>
    <x v="10"/>
  </r>
  <r>
    <x v="13"/>
    <x v="0"/>
    <x v="13"/>
    <x v="11"/>
  </r>
  <r>
    <x v="0"/>
    <x v="1"/>
    <x v="14"/>
    <x v="12"/>
  </r>
  <r>
    <x v="1"/>
    <x v="1"/>
    <x v="5"/>
    <x v="13"/>
  </r>
  <r>
    <x v="2"/>
    <x v="1"/>
    <x v="15"/>
    <x v="14"/>
  </r>
  <r>
    <x v="3"/>
    <x v="1"/>
    <x v="16"/>
    <x v="15"/>
  </r>
  <r>
    <x v="4"/>
    <x v="1"/>
    <x v="17"/>
    <x v="16"/>
  </r>
  <r>
    <x v="5"/>
    <x v="1"/>
    <x v="18"/>
    <x v="17"/>
  </r>
  <r>
    <x v="6"/>
    <x v="1"/>
    <x v="19"/>
    <x v="18"/>
  </r>
  <r>
    <x v="7"/>
    <x v="1"/>
    <x v="20"/>
    <x v="19"/>
  </r>
  <r>
    <x v="8"/>
    <x v="1"/>
    <x v="21"/>
    <x v="20"/>
  </r>
  <r>
    <x v="9"/>
    <x v="1"/>
    <x v="22"/>
    <x v="21"/>
  </r>
  <r>
    <x v="10"/>
    <x v="1"/>
    <x v="23"/>
    <x v="22"/>
  </r>
  <r>
    <x v="11"/>
    <x v="1"/>
    <x v="24"/>
    <x v="23"/>
  </r>
  <r>
    <x v="12"/>
    <x v="1"/>
    <x v="25"/>
    <x v="24"/>
  </r>
  <r>
    <x v="13"/>
    <x v="1"/>
    <x v="26"/>
    <x v="25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9">
  <r>
    <x v="0"/>
    <x v="0"/>
    <n v="345"/>
  </r>
  <r>
    <x v="1"/>
    <x v="0"/>
    <n v="5"/>
  </r>
  <r>
    <x v="2"/>
    <x v="0"/>
    <n v="1611"/>
  </r>
  <r>
    <x v="3"/>
    <x v="0"/>
    <n v="330"/>
  </r>
  <r>
    <x v="4"/>
    <x v="0"/>
    <n v="306"/>
  </r>
  <r>
    <x v="5"/>
    <x v="1"/>
    <n v="166"/>
  </r>
  <r>
    <x v="6"/>
    <x v="1"/>
    <n v="392"/>
  </r>
  <r>
    <x v="7"/>
    <x v="2"/>
    <n v="180"/>
  </r>
  <r>
    <x v="0"/>
    <x v="2"/>
    <n v="92"/>
  </r>
  <r>
    <x v="1"/>
    <x v="2"/>
    <n v="1"/>
  </r>
  <r>
    <x v="2"/>
    <x v="2"/>
    <n v="62"/>
  </r>
  <r>
    <x v="3"/>
    <x v="2"/>
    <n v="32"/>
  </r>
  <r>
    <x v="4"/>
    <x v="2"/>
    <n v="114"/>
  </r>
  <r>
    <x v="8"/>
    <x v="3"/>
    <n v="37"/>
  </r>
  <r>
    <x v="9"/>
    <x v="3"/>
    <n v="248"/>
  </r>
  <r>
    <x v="5"/>
    <x v="4"/>
    <n v="150"/>
  </r>
  <r>
    <x v="5"/>
    <x v="5"/>
    <n v="452"/>
  </r>
  <r>
    <x v="6"/>
    <x v="5"/>
    <n v="124"/>
  </r>
  <r>
    <x v="0"/>
    <x v="6"/>
    <n v="32"/>
  </r>
  <r>
    <x v="10"/>
    <x v="0"/>
    <n v="357"/>
  </r>
  <r>
    <x v="11"/>
    <x v="0"/>
    <n v="27"/>
  </r>
  <r>
    <x v="9"/>
    <x v="1"/>
    <n v="4224"/>
  </r>
  <r>
    <x v="10"/>
    <x v="1"/>
    <n v="93"/>
  </r>
  <r>
    <x v="12"/>
    <x v="1"/>
    <n v="9807"/>
  </r>
  <r>
    <x v="8"/>
    <x v="7"/>
    <n v="86"/>
  </r>
  <r>
    <x v="13"/>
    <x v="7"/>
    <n v="541"/>
  </r>
  <r>
    <x v="14"/>
    <x v="2"/>
    <n v="9"/>
  </r>
  <r>
    <x v="6"/>
    <x v="3"/>
    <n v="10"/>
  </r>
  <r>
    <x v="0"/>
    <x v="4"/>
    <n v="1882"/>
  </r>
  <r>
    <x v="1"/>
    <x v="4"/>
    <n v="128"/>
  </r>
  <r>
    <x v="12"/>
    <x v="4"/>
    <n v="55785"/>
  </r>
  <r>
    <x v="8"/>
    <x v="5"/>
    <n v="465"/>
  </r>
  <r>
    <x v="14"/>
    <x v="5"/>
    <n v="244"/>
  </r>
  <r>
    <x v="15"/>
    <x v="5"/>
    <n v="1262"/>
  </r>
  <r>
    <x v="16"/>
    <x v="5"/>
    <n v="1812"/>
  </r>
  <r>
    <x v="2"/>
    <x v="6"/>
    <n v="32"/>
  </r>
  <r>
    <x v="3"/>
    <x v="6"/>
    <n v="24"/>
  </r>
  <r>
    <x v="17"/>
    <x v="6"/>
    <n v="52"/>
  </r>
  <r>
    <x v="4"/>
    <x v="6"/>
    <n v="104"/>
  </r>
  <r>
    <x v="8"/>
    <x v="0"/>
    <n v="177"/>
  </r>
  <r>
    <x v="9"/>
    <x v="0"/>
    <n v="16973"/>
  </r>
  <r>
    <x v="11"/>
    <x v="1"/>
    <n v="8"/>
  </r>
  <r>
    <x v="7"/>
    <x v="7"/>
    <n v="54"/>
  </r>
  <r>
    <x v="2"/>
    <x v="7"/>
    <n v="59"/>
  </r>
  <r>
    <x v="3"/>
    <x v="7"/>
    <n v="99"/>
  </r>
  <r>
    <x v="17"/>
    <x v="7"/>
    <n v="3961"/>
  </r>
  <r>
    <x v="4"/>
    <x v="7"/>
    <n v="162"/>
  </r>
  <r>
    <x v="8"/>
    <x v="4"/>
    <n v="23"/>
  </r>
  <r>
    <x v="9"/>
    <x v="4"/>
    <n v="789"/>
  </r>
  <r>
    <x v="18"/>
    <x v="5"/>
    <n v="95"/>
  </r>
  <r>
    <x v="11"/>
    <x v="5"/>
    <n v="35"/>
  </r>
  <r>
    <x v="8"/>
    <x v="6"/>
    <n v="14"/>
  </r>
  <r>
    <x v="13"/>
    <x v="1"/>
    <n v="564"/>
  </r>
  <r>
    <x v="1"/>
    <x v="7"/>
    <n v="2"/>
  </r>
  <r>
    <x v="19"/>
    <x v="7"/>
    <n v="50"/>
  </r>
  <r>
    <x v="10"/>
    <x v="7"/>
    <n v="4672"/>
  </r>
  <r>
    <x v="12"/>
    <x v="2"/>
    <n v="2834"/>
  </r>
  <r>
    <x v="17"/>
    <x v="2"/>
    <n v="75"/>
  </r>
  <r>
    <x v="0"/>
    <x v="3"/>
    <n v="195"/>
  </r>
  <r>
    <x v="11"/>
    <x v="4"/>
    <n v="35"/>
  </r>
  <r>
    <x v="3"/>
    <x v="4"/>
    <n v="160"/>
  </r>
  <r>
    <x v="9"/>
    <x v="5"/>
    <n v="1841"/>
  </r>
  <r>
    <x v="12"/>
    <x v="5"/>
    <n v="18650"/>
  </r>
  <r>
    <x v="9"/>
    <x v="6"/>
    <n v="1782"/>
  </r>
  <r>
    <x v="10"/>
    <x v="6"/>
    <n v="134"/>
  </r>
  <r>
    <x v="17"/>
    <x v="0"/>
    <n v="97"/>
  </r>
  <r>
    <x v="19"/>
    <x v="1"/>
    <n v="135"/>
  </r>
  <r>
    <x v="18"/>
    <x v="1"/>
    <n v="24"/>
  </r>
  <r>
    <x v="14"/>
    <x v="7"/>
    <n v="22"/>
  </r>
  <r>
    <x v="15"/>
    <x v="7"/>
    <n v="4053"/>
  </r>
  <r>
    <x v="11"/>
    <x v="7"/>
    <n v="31"/>
  </r>
  <r>
    <x v="16"/>
    <x v="7"/>
    <n v="228"/>
  </r>
  <r>
    <x v="8"/>
    <x v="2"/>
    <n v="15"/>
  </r>
  <r>
    <x v="13"/>
    <x v="2"/>
    <n v="447"/>
  </r>
  <r>
    <x v="11"/>
    <x v="3"/>
    <n v="2"/>
  </r>
  <r>
    <x v="3"/>
    <x v="3"/>
    <n v="65"/>
  </r>
  <r>
    <x v="17"/>
    <x v="3"/>
    <n v="1039"/>
  </r>
  <r>
    <x v="2"/>
    <x v="4"/>
    <n v="137"/>
  </r>
  <r>
    <x v="19"/>
    <x v="4"/>
    <n v="393"/>
  </r>
  <r>
    <x v="18"/>
    <x v="4"/>
    <n v="126"/>
  </r>
  <r>
    <x v="13"/>
    <x v="5"/>
    <n v="1222"/>
  </r>
  <r>
    <x v="7"/>
    <x v="6"/>
    <n v="261"/>
  </r>
  <r>
    <x v="13"/>
    <x v="6"/>
    <n v="1067"/>
  </r>
  <r>
    <x v="14"/>
    <x v="6"/>
    <n v="15"/>
  </r>
  <r>
    <x v="15"/>
    <x v="6"/>
    <n v="152"/>
  </r>
  <r>
    <x v="16"/>
    <x v="6"/>
    <n v="178"/>
  </r>
  <r>
    <x v="7"/>
    <x v="0"/>
    <n v="290"/>
  </r>
  <r>
    <x v="14"/>
    <x v="0"/>
    <n v="59"/>
  </r>
  <r>
    <x v="15"/>
    <x v="0"/>
    <n v="433"/>
  </r>
  <r>
    <x v="16"/>
    <x v="0"/>
    <n v="3241"/>
  </r>
  <r>
    <x v="8"/>
    <x v="1"/>
    <n v="846"/>
  </r>
  <r>
    <x v="15"/>
    <x v="1"/>
    <n v="518"/>
  </r>
  <r>
    <x v="0"/>
    <x v="7"/>
    <n v="379"/>
  </r>
  <r>
    <x v="12"/>
    <x v="7"/>
    <n v="8699"/>
  </r>
  <r>
    <x v="9"/>
    <x v="2"/>
    <n v="753"/>
  </r>
  <r>
    <x v="19"/>
    <x v="2"/>
    <n v="260"/>
  </r>
  <r>
    <x v="10"/>
    <x v="2"/>
    <n v="78"/>
  </r>
  <r>
    <x v="7"/>
    <x v="3"/>
    <n v="7"/>
  </r>
  <r>
    <x v="5"/>
    <x v="3"/>
    <n v="42"/>
  </r>
  <r>
    <x v="1"/>
    <x v="3"/>
    <n v="35"/>
  </r>
  <r>
    <x v="2"/>
    <x v="3"/>
    <n v="37"/>
  </r>
  <r>
    <x v="18"/>
    <x v="3"/>
    <n v="5"/>
  </r>
  <r>
    <x v="4"/>
    <x v="3"/>
    <n v="119"/>
  </r>
  <r>
    <x v="6"/>
    <x v="4"/>
    <n v="14"/>
  </r>
  <r>
    <x v="19"/>
    <x v="5"/>
    <n v="186"/>
  </r>
  <r>
    <x v="10"/>
    <x v="5"/>
    <n v="1840"/>
  </r>
  <r>
    <x v="5"/>
    <x v="6"/>
    <n v="152"/>
  </r>
  <r>
    <x v="18"/>
    <x v="6"/>
    <n v="22"/>
  </r>
  <r>
    <x v="11"/>
    <x v="6"/>
    <n v="23"/>
  </r>
  <r>
    <x v="12"/>
    <x v="6"/>
    <n v="4604"/>
  </r>
  <r>
    <x v="5"/>
    <x v="0"/>
    <n v="2499"/>
  </r>
  <r>
    <x v="18"/>
    <x v="0"/>
    <n v="40"/>
  </r>
  <r>
    <x v="12"/>
    <x v="0"/>
    <n v="51732"/>
  </r>
  <r>
    <x v="6"/>
    <x v="0"/>
    <n v="112"/>
  </r>
  <r>
    <x v="7"/>
    <x v="1"/>
    <n v="21"/>
  </r>
  <r>
    <x v="1"/>
    <x v="1"/>
    <n v="2"/>
  </r>
  <r>
    <x v="2"/>
    <x v="1"/>
    <n v="152"/>
  </r>
  <r>
    <x v="14"/>
    <x v="1"/>
    <n v="10"/>
  </r>
  <r>
    <x v="3"/>
    <x v="1"/>
    <n v="110"/>
  </r>
  <r>
    <x v="17"/>
    <x v="1"/>
    <n v="165"/>
  </r>
  <r>
    <x v="4"/>
    <x v="1"/>
    <n v="151"/>
  </r>
  <r>
    <x v="16"/>
    <x v="1"/>
    <n v="1094"/>
  </r>
  <r>
    <x v="5"/>
    <x v="7"/>
    <n v="48"/>
  </r>
  <r>
    <x v="9"/>
    <x v="7"/>
    <n v="770"/>
  </r>
  <r>
    <x v="18"/>
    <x v="7"/>
    <n v="11"/>
  </r>
  <r>
    <x v="6"/>
    <x v="2"/>
    <n v="16"/>
  </r>
  <r>
    <x v="14"/>
    <x v="3"/>
    <n v="15"/>
  </r>
  <r>
    <x v="15"/>
    <x v="3"/>
    <n v="1230"/>
  </r>
  <r>
    <x v="12"/>
    <x v="3"/>
    <n v="2652"/>
  </r>
  <r>
    <x v="16"/>
    <x v="3"/>
    <n v="65"/>
  </r>
  <r>
    <x v="0"/>
    <x v="5"/>
    <n v="4884"/>
  </r>
  <r>
    <x v="3"/>
    <x v="5"/>
    <n v="572"/>
  </r>
  <r>
    <x v="17"/>
    <x v="5"/>
    <n v="118"/>
  </r>
  <r>
    <x v="19"/>
    <x v="6"/>
    <n v="137"/>
  </r>
  <r>
    <x v="6"/>
    <x v="6"/>
    <n v="8"/>
  </r>
  <r>
    <x v="13"/>
    <x v="0"/>
    <n v="2730"/>
  </r>
  <r>
    <x v="19"/>
    <x v="0"/>
    <n v="395"/>
  </r>
  <r>
    <x v="0"/>
    <x v="1"/>
    <n v="55"/>
  </r>
  <r>
    <x v="6"/>
    <x v="7"/>
    <n v="80"/>
  </r>
  <r>
    <x v="5"/>
    <x v="2"/>
    <n v="126"/>
  </r>
  <r>
    <x v="15"/>
    <x v="2"/>
    <n v="86"/>
  </r>
  <r>
    <x v="18"/>
    <x v="2"/>
    <n v="35"/>
  </r>
  <r>
    <x v="11"/>
    <x v="2"/>
    <n v="14"/>
  </r>
  <r>
    <x v="16"/>
    <x v="2"/>
    <n v="356"/>
  </r>
  <r>
    <x v="13"/>
    <x v="3"/>
    <n v="151"/>
  </r>
  <r>
    <x v="19"/>
    <x v="3"/>
    <n v="21"/>
  </r>
  <r>
    <x v="10"/>
    <x v="3"/>
    <n v="1013"/>
  </r>
  <r>
    <x v="7"/>
    <x v="4"/>
    <n v="261"/>
  </r>
  <r>
    <x v="13"/>
    <x v="4"/>
    <n v="917"/>
  </r>
  <r>
    <x v="14"/>
    <x v="4"/>
    <n v="122"/>
  </r>
  <r>
    <x v="10"/>
    <x v="4"/>
    <n v="775"/>
  </r>
  <r>
    <x v="15"/>
    <x v="4"/>
    <n v="781"/>
  </r>
  <r>
    <x v="17"/>
    <x v="4"/>
    <n v="127"/>
  </r>
  <r>
    <x v="4"/>
    <x v="4"/>
    <n v="14616"/>
  </r>
  <r>
    <x v="16"/>
    <x v="4"/>
    <n v="31164"/>
  </r>
  <r>
    <x v="7"/>
    <x v="5"/>
    <n v="63"/>
  </r>
  <r>
    <x v="1"/>
    <x v="5"/>
    <n v="257"/>
  </r>
  <r>
    <x v="2"/>
    <x v="5"/>
    <n v="270"/>
  </r>
  <r>
    <x v="4"/>
    <x v="5"/>
    <n v="56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27036B-9A31-45A1-BA50-17291437656B}" name="PivotTable1" cacheId="36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Statewide Vehicle Type*" colHeaderCaption=" " fieldListSortAscending="1">
  <location ref="A3:G20" firstHeaderRow="1" firstDataRow="3" firstDataCol="1"/>
  <pivotFields count="5">
    <pivotField axis="axisRow" showAll="0">
      <items count="15">
        <item x="7"/>
        <item x="8"/>
        <item x="3"/>
        <item x="2"/>
        <item x="9"/>
        <item x="10"/>
        <item x="12"/>
        <item x="13"/>
        <item x="11"/>
        <item x="6"/>
        <item x="0"/>
        <item x="1"/>
        <item x="5"/>
        <item n="Not stated**" x="4"/>
        <item t="default"/>
      </items>
    </pivotField>
    <pivotField axis="axisCol" showAll="0">
      <items count="3">
        <item n="Drivers in Fatal Crashes" x="0"/>
        <item n="Drivers in Injury Crashes" x="1"/>
        <item t="default"/>
      </items>
    </pivotField>
    <pivotField name="Total2" dataField="1" showAll="0"/>
    <pivotField name="At Fault2" dataField="1" showAll="0"/>
    <pivotField dataField="1" dragToRow="0" dragToCol="0" dragToPage="0" showAll="0" defaultSubtotal="0"/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2">
    <field x="1"/>
    <field x="-2"/>
  </colFields>
  <colItems count="6">
    <i>
      <x/>
      <x/>
    </i>
    <i r="1" i="1">
      <x v="1"/>
    </i>
    <i r="1" i="2">
      <x v="2"/>
    </i>
    <i>
      <x v="1"/>
      <x/>
    </i>
    <i r="1" i="1">
      <x v="1"/>
    </i>
    <i r="1" i="2">
      <x v="2"/>
    </i>
  </colItems>
  <dataFields count="3">
    <dataField name="Total" fld="2" baseField="0" baseItem="9" numFmtId="3"/>
    <dataField name="At Fault" fld="3" baseField="0" baseItem="9" numFmtId="3"/>
    <dataField name="Percent At Fault" fld="4" baseField="0" baseItem="2" numFmtId="164"/>
  </dataFields>
  <formats count="51">
    <format dxfId="291">
      <pivotArea type="all" dataOnly="0" outline="0" fieldPosition="0"/>
    </format>
    <format dxfId="290">
      <pivotArea outline="0" collapsedLevelsAreSubtotals="1" fieldPosition="0"/>
    </format>
    <format dxfId="289">
      <pivotArea type="origin" dataOnly="0" labelOnly="1" outline="0" fieldPosition="0"/>
    </format>
    <format dxfId="288">
      <pivotArea field="1" type="button" dataOnly="0" labelOnly="1" outline="0" axis="axisCol" fieldPosition="0"/>
    </format>
    <format dxfId="287">
      <pivotArea type="topRight" dataOnly="0" labelOnly="1" outline="0" fieldPosition="0"/>
    </format>
    <format dxfId="286">
      <pivotArea field="0" type="button" dataOnly="0" labelOnly="1" outline="0" axis="axisRow" fieldPosition="0"/>
    </format>
    <format dxfId="285">
      <pivotArea dataOnly="0" labelOnly="1" fieldPosition="0">
        <references count="1">
          <reference field="0" count="0"/>
        </references>
      </pivotArea>
    </format>
    <format dxfId="284">
      <pivotArea dataOnly="0" labelOnly="1" grandRow="1" outline="0" fieldPosition="0"/>
    </format>
    <format dxfId="283">
      <pivotArea dataOnly="0" labelOnly="1" fieldPosition="0">
        <references count="1">
          <reference field="1" count="0"/>
        </references>
      </pivotArea>
    </format>
    <format dxfId="282">
      <pivotArea dataOnly="0" labelOnly="1" fieldPosition="0">
        <references count="1">
          <reference field="1" count="0" defaultSubtotal="1"/>
        </references>
      </pivotArea>
    </format>
    <format dxfId="281">
      <pivotArea dataOnly="0" labelOnly="1" grandCol="1" outline="0" fieldPosition="0"/>
    </format>
    <format dxfId="280">
      <pivotArea type="all" dataOnly="0" outline="0" fieldPosition="0"/>
    </format>
    <format dxfId="279">
      <pivotArea outline="0" collapsedLevelsAreSubtotals="1" fieldPosition="0"/>
    </format>
    <format dxfId="278">
      <pivotArea type="origin" dataOnly="0" labelOnly="1" outline="0" fieldPosition="0"/>
    </format>
    <format dxfId="277">
      <pivotArea field="1" type="button" dataOnly="0" labelOnly="1" outline="0" axis="axisCol" fieldPosition="0"/>
    </format>
    <format dxfId="276">
      <pivotArea type="topRight" dataOnly="0" labelOnly="1" outline="0" fieldPosition="0"/>
    </format>
    <format dxfId="275">
      <pivotArea field="0" type="button" dataOnly="0" labelOnly="1" outline="0" axis="axisRow" fieldPosition="0"/>
    </format>
    <format dxfId="274">
      <pivotArea dataOnly="0" labelOnly="1" fieldPosition="0">
        <references count="1">
          <reference field="0" count="0"/>
        </references>
      </pivotArea>
    </format>
    <format dxfId="273">
      <pivotArea dataOnly="0" labelOnly="1" grandRow="1" outline="0" fieldPosition="0"/>
    </format>
    <format dxfId="272">
      <pivotArea dataOnly="0" labelOnly="1" fieldPosition="0">
        <references count="1">
          <reference field="1" count="0"/>
        </references>
      </pivotArea>
    </format>
    <format dxfId="271">
      <pivotArea dataOnly="0" labelOnly="1" fieldPosition="0">
        <references count="1">
          <reference field="1" count="0" defaultSubtotal="1"/>
        </references>
      </pivotArea>
    </format>
    <format dxfId="270">
      <pivotArea dataOnly="0" labelOnly="1" grandCol="1" outline="0" fieldPosition="0"/>
    </format>
    <format dxfId="269">
      <pivotArea type="all" dataOnly="0" outline="0" fieldPosition="0"/>
    </format>
    <format dxfId="268">
      <pivotArea outline="0" collapsedLevelsAreSubtotals="1" fieldPosition="0"/>
    </format>
    <format dxfId="267">
      <pivotArea type="origin" dataOnly="0" labelOnly="1" outline="0" fieldPosition="0"/>
    </format>
    <format dxfId="266">
      <pivotArea field="1" type="button" dataOnly="0" labelOnly="1" outline="0" axis="axisCol" fieldPosition="0"/>
    </format>
    <format dxfId="265">
      <pivotArea type="topRight" dataOnly="0" labelOnly="1" outline="0" fieldPosition="0"/>
    </format>
    <format dxfId="264">
      <pivotArea field="0" type="button" dataOnly="0" labelOnly="1" outline="0" axis="axisRow" fieldPosition="0"/>
    </format>
    <format dxfId="263">
      <pivotArea dataOnly="0" labelOnly="1" fieldPosition="0">
        <references count="1">
          <reference field="0" count="0"/>
        </references>
      </pivotArea>
    </format>
    <format dxfId="262">
      <pivotArea dataOnly="0" labelOnly="1" grandRow="1" outline="0" fieldPosition="0"/>
    </format>
    <format dxfId="261">
      <pivotArea dataOnly="0" labelOnly="1" fieldPosition="0">
        <references count="1">
          <reference field="1" count="0"/>
        </references>
      </pivotArea>
    </format>
    <format dxfId="260">
      <pivotArea dataOnly="0" labelOnly="1" fieldPosition="0">
        <references count="1">
          <reference field="1" count="0" defaultSubtotal="1"/>
        </references>
      </pivotArea>
    </format>
    <format dxfId="259">
      <pivotArea dataOnly="0" labelOnly="1" grandCol="1" outline="0" fieldPosition="0"/>
    </format>
    <format dxfId="258">
      <pivotArea outline="0" fieldPosition="0">
        <references count="1">
          <reference field="4294967294" count="1">
            <x v="0"/>
          </reference>
        </references>
      </pivotArea>
    </format>
    <format dxfId="257">
      <pivotArea outline="0" fieldPosition="0">
        <references count="1">
          <reference field="4294967294" count="1">
            <x v="1"/>
          </reference>
        </references>
      </pivotArea>
    </format>
    <format dxfId="256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255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254">
      <pivotArea outline="0" fieldPosition="0">
        <references count="1">
          <reference field="4294967294" count="1">
            <x v="2"/>
          </reference>
        </references>
      </pivotArea>
    </format>
    <format dxfId="253">
      <pivotArea dataOnly="0" labelOnly="1" fieldPosition="0">
        <references count="1">
          <reference field="1" count="1">
            <x v="0"/>
          </reference>
        </references>
      </pivotArea>
    </format>
    <format dxfId="252">
      <pivotArea dataOnly="0" labelOnly="1" fieldPosition="0">
        <references count="1">
          <reference field="1" count="1">
            <x v="1"/>
          </reference>
        </references>
      </pivotArea>
    </format>
    <format dxfId="251">
      <pivotArea dataOnly="0" labelOnly="1" outline="0" fieldPosition="0">
        <references count="2">
          <reference field="4294967294" count="1">
            <x v="2"/>
          </reference>
          <reference field="1" count="1" selected="0">
            <x v="0"/>
          </reference>
        </references>
      </pivotArea>
    </format>
    <format dxfId="250">
      <pivotArea dataOnly="0" labelOnly="1" outline="0" fieldPosition="0">
        <references count="2">
          <reference field="4294967294" count="1">
            <x v="2"/>
          </reference>
          <reference field="1" count="1" selected="0">
            <x v="0"/>
          </reference>
        </references>
      </pivotArea>
    </format>
    <format dxfId="249">
      <pivotArea dataOnly="0" labelOnly="1" outline="0" fieldPosition="0">
        <references count="2">
          <reference field="4294967294" count="1">
            <x v="2"/>
          </reference>
          <reference field="1" count="1" selected="0">
            <x v="1"/>
          </reference>
        </references>
      </pivotArea>
    </format>
    <format dxfId="248">
      <pivotArea dataOnly="0" labelOnly="1" outline="0" fieldPosition="0">
        <references count="2">
          <reference field="4294967294" count="1">
            <x v="2"/>
          </reference>
          <reference field="1" count="1" selected="0">
            <x v="1"/>
          </reference>
        </references>
      </pivotArea>
    </format>
    <format dxfId="247">
      <pivotArea grandRow="1" outline="0" collapsedLevelsAreSubtotals="1" fieldPosition="0"/>
    </format>
    <format dxfId="246">
      <pivotArea dataOnly="0" labelOnly="1" grandRow="1" outline="0" fieldPosition="0"/>
    </format>
    <format dxfId="245">
      <pivotArea dataOnly="0" labelOnly="1" outline="0" fieldPosition="0">
        <references count="2">
          <reference field="4294967294" count="1">
            <x v="1"/>
          </reference>
          <reference field="1" count="1" selected="0">
            <x v="0"/>
          </reference>
        </references>
      </pivotArea>
    </format>
    <format dxfId="244">
      <pivotArea dataOnly="0" labelOnly="1" outline="0" fieldPosition="0">
        <references count="2">
          <reference field="4294967294" count="1">
            <x v="1"/>
          </reference>
          <reference field="1" count="1" selected="0">
            <x v="1"/>
          </reference>
        </references>
      </pivotArea>
    </format>
    <format dxfId="243">
      <pivotArea field="0" type="button" dataOnly="0" labelOnly="1" outline="0" axis="axisRow" fieldPosition="0"/>
    </format>
    <format dxfId="242">
      <pivotArea dataOnly="0" labelOnly="1" fieldPosition="0">
        <references count="1">
          <reference field="1" count="1">
            <x v="0"/>
          </reference>
        </references>
      </pivotArea>
    </format>
    <format dxfId="241">
      <pivotArea dataOnly="0" labelOnly="1" fieldPosition="0">
        <references count="1">
          <reference field="1" count="1">
            <x v="1"/>
          </reference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504C53-D591-4B2D-A328-F5D061444EF4}" name="PivotTable1" cacheId="35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Age" colHeaderCaption=" " fieldListSortAscending="1">
  <location ref="A3:Q61" firstHeaderRow="1" firstDataRow="4" firstDataCol="1"/>
  <pivotFields count="5">
    <pivotField axis="axisCol" showAll="0" defaultSubtotal="0">
      <items count="2">
        <item n="Fatal" x="0"/>
        <item n="Injury" x="1"/>
      </items>
    </pivotField>
    <pivotField axis="axisCol" showAll="0" defaultSubtotal="0">
      <items count="5">
        <item x="0"/>
        <item x="1"/>
        <item x="2"/>
        <item n="Not stated" x="3"/>
        <item m="1" x="4"/>
      </items>
    </pivotField>
    <pivotField axis="axisRow" showAll="0" defaultSubtotal="0">
      <items count="54">
        <item x="40"/>
        <item x="30"/>
        <item x="41"/>
        <item x="2"/>
        <item x="42"/>
        <item x="26"/>
        <item x="19"/>
        <item x="16"/>
        <item x="12"/>
        <item x="5"/>
        <item x="7"/>
        <item x="50"/>
        <item x="35"/>
        <item x="33"/>
        <item x="39"/>
        <item x="6"/>
        <item x="48"/>
        <item x="34"/>
        <item x="36"/>
        <item x="51"/>
        <item x="8"/>
        <item x="27"/>
        <item x="13"/>
        <item x="17"/>
        <item x="37"/>
        <item x="20"/>
        <item x="28"/>
        <item x="49"/>
        <item x="3"/>
        <item x="44"/>
        <item x="31"/>
        <item x="9"/>
        <item x="52"/>
        <item x="46"/>
        <item x="0"/>
        <item x="21"/>
        <item x="43"/>
        <item x="29"/>
        <item x="14"/>
        <item x="47"/>
        <item x="10"/>
        <item x="32"/>
        <item x="45"/>
        <item x="18"/>
        <item x="22"/>
        <item x="1"/>
        <item x="23"/>
        <item x="53"/>
        <item x="38"/>
        <item x="24"/>
        <item x="15"/>
        <item x="4"/>
        <item x="25"/>
        <item x="11"/>
      </items>
    </pivotField>
    <pivotField name="Sum of Total2" dataField="1" subtotalTop="0" showAll="0" defaultSubtotal="0"/>
    <pivotField name="Sum of At Fault2" dataField="1" subtotalTop="0" showAll="0" defaultSubtotal="0"/>
  </pivotFields>
  <rowFields count="1">
    <field x="2"/>
  </rowFields>
  <rowItems count="5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 t="grand">
      <x/>
    </i>
  </rowItems>
  <colFields count="3">
    <field x="0"/>
    <field x="1"/>
    <field x="-2"/>
  </colFields>
  <colItems count="16">
    <i>
      <x/>
      <x/>
      <x/>
    </i>
    <i r="2" i="1">
      <x v="1"/>
    </i>
    <i r="1">
      <x v="1"/>
      <x/>
    </i>
    <i r="2" i="1">
      <x v="1"/>
    </i>
    <i r="1">
      <x v="2"/>
      <x/>
    </i>
    <i r="2" i="1">
      <x v="1"/>
    </i>
    <i r="1">
      <x v="3"/>
      <x/>
    </i>
    <i r="2" i="1">
      <x v="1"/>
    </i>
    <i>
      <x v="1"/>
      <x/>
      <x/>
    </i>
    <i r="2" i="1">
      <x v="1"/>
    </i>
    <i r="1">
      <x v="1"/>
      <x/>
    </i>
    <i r="2" i="1">
      <x v="1"/>
    </i>
    <i r="1">
      <x v="2"/>
      <x/>
    </i>
    <i r="2" i="1">
      <x v="1"/>
    </i>
    <i r="1">
      <x v="3"/>
      <x/>
    </i>
    <i r="2" i="1">
      <x v="1"/>
    </i>
  </colItems>
  <dataFields count="2">
    <dataField name="Total" fld="3" baseField="2" baseItem="7" numFmtId="3"/>
    <dataField name="At Fault" fld="4" baseField="2" baseItem="7" numFmtId="3"/>
  </dataFields>
  <formats count="42">
    <format dxfId="240">
      <pivotArea type="all" dataOnly="0" outline="0" fieldPosition="0"/>
    </format>
    <format dxfId="239">
      <pivotArea outline="0" collapsedLevelsAreSubtotals="1" fieldPosition="0"/>
    </format>
    <format dxfId="238">
      <pivotArea type="origin" dataOnly="0" labelOnly="1" outline="0" fieldPosition="0"/>
    </format>
    <format dxfId="237">
      <pivotArea type="topRight" dataOnly="0" labelOnly="1" outline="0" fieldPosition="0"/>
    </format>
    <format dxfId="236">
      <pivotArea dataOnly="0" labelOnly="1" grandRow="1" outline="0" fieldPosition="0"/>
    </format>
    <format dxfId="235">
      <pivotArea dataOnly="0" labelOnly="1" grandCol="1" outline="0" fieldPosition="0"/>
    </format>
    <format dxfId="234">
      <pivotArea type="all" dataOnly="0" outline="0" fieldPosition="0"/>
    </format>
    <format dxfId="233">
      <pivotArea outline="0" collapsedLevelsAreSubtotals="1" fieldPosition="0"/>
    </format>
    <format dxfId="232">
      <pivotArea type="origin" dataOnly="0" labelOnly="1" outline="0" fieldPosition="0"/>
    </format>
    <format dxfId="231">
      <pivotArea type="topRight" dataOnly="0" labelOnly="1" outline="0" fieldPosition="0"/>
    </format>
    <format dxfId="230">
      <pivotArea dataOnly="0" labelOnly="1" grandRow="1" outline="0" fieldPosition="0"/>
    </format>
    <format dxfId="229">
      <pivotArea dataOnly="0" labelOnly="1" grandCol="1" outline="0" fieldPosition="0"/>
    </format>
    <format dxfId="228">
      <pivotArea type="all" dataOnly="0" outline="0" fieldPosition="0"/>
    </format>
    <format dxfId="227">
      <pivotArea outline="0" collapsedLevelsAreSubtotals="1" fieldPosition="0"/>
    </format>
    <format dxfId="226">
      <pivotArea type="origin" dataOnly="0" labelOnly="1" outline="0" fieldPosition="0"/>
    </format>
    <format dxfId="225">
      <pivotArea type="topRight" dataOnly="0" labelOnly="1" outline="0" fieldPosition="0"/>
    </format>
    <format dxfId="224">
      <pivotArea dataOnly="0" labelOnly="1" grandRow="1" outline="0" fieldPosition="0"/>
    </format>
    <format dxfId="223">
      <pivotArea dataOnly="0" labelOnly="1" grandCol="1" outline="0" fieldPosition="0"/>
    </format>
    <format dxfId="222">
      <pivotArea field="1" grandRow="1" outline="0" collapsedLevelsAreSubtotals="1" axis="axisCol" fieldPosition="1">
        <references count="2">
          <reference field="0" count="1" selected="0">
            <x v="1"/>
          </reference>
          <reference field="1" count="3" selected="0">
            <x v="1"/>
            <x v="2"/>
            <x v="3"/>
          </reference>
        </references>
      </pivotArea>
    </format>
    <format dxfId="221">
      <pivotArea dataOnly="0" labelOnly="1" fieldPosition="0">
        <references count="1">
          <reference field="0" count="0"/>
        </references>
      </pivotArea>
    </format>
    <format dxfId="220">
      <pivotArea dataOnly="0" labelOnly="1" fieldPosition="0">
        <references count="1">
          <reference field="0" count="1">
            <x v="0"/>
          </reference>
        </references>
      </pivotArea>
    </format>
    <format dxfId="219">
      <pivotArea dataOnly="0" labelOnly="1" fieldPosition="0">
        <references count="1">
          <reference field="0" count="1">
            <x v="1"/>
          </reference>
        </references>
      </pivotArea>
    </format>
    <format dxfId="218">
      <pivotArea grandRow="1" outline="0" collapsedLevelsAreSubtotals="1" fieldPosition="0"/>
    </format>
    <format dxfId="217">
      <pivotArea dataOnly="0" labelOnly="1" grandRow="1" outline="0" fieldPosition="0"/>
    </format>
    <format dxfId="216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1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14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0"/>
          </reference>
          <reference field="1" count="1" selected="0">
            <x v="0"/>
          </reference>
        </references>
      </pivotArea>
    </format>
    <format dxfId="213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0"/>
          </reference>
          <reference field="1" count="1" selected="0">
            <x v="1"/>
          </reference>
        </references>
      </pivotArea>
    </format>
    <format dxfId="212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0"/>
          </reference>
          <reference field="1" count="1" selected="0">
            <x v="3"/>
          </reference>
        </references>
      </pivotArea>
    </format>
    <format dxfId="211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0"/>
          </reference>
          <reference field="1" count="1" selected="0">
            <x v="2"/>
          </reference>
        </references>
      </pivotArea>
    </format>
    <format dxfId="210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"/>
          </reference>
          <reference field="1" count="1" selected="0">
            <x v="0"/>
          </reference>
        </references>
      </pivotArea>
    </format>
    <format dxfId="209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"/>
          </reference>
          <reference field="1" count="1" selected="0">
            <x v="1"/>
          </reference>
        </references>
      </pivotArea>
    </format>
    <format dxfId="208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"/>
          </reference>
          <reference field="1" count="1" selected="0">
            <x v="3"/>
          </reference>
        </references>
      </pivotArea>
    </format>
    <format dxfId="207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"/>
          </reference>
          <reference field="1" count="1" selected="0">
            <x v="2"/>
          </reference>
        </references>
      </pivotArea>
    </format>
    <format dxfId="206">
      <pivotArea outline="0" fieldPosition="0">
        <references count="1">
          <reference field="4294967294" count="1">
            <x v="0"/>
          </reference>
        </references>
      </pivotArea>
    </format>
    <format dxfId="205">
      <pivotArea outline="0" fieldPosition="0">
        <references count="1">
          <reference field="4294967294" count="1">
            <x v="1"/>
          </reference>
        </references>
      </pivotArea>
    </format>
    <format dxfId="204">
      <pivotArea dataOnly="0" labelOnly="1" fieldPosition="0">
        <references count="1">
          <reference field="0" count="1">
            <x v="0"/>
          </reference>
        </references>
      </pivotArea>
    </format>
    <format dxfId="203">
      <pivotArea dataOnly="0" labelOnly="1" fieldPosition="0">
        <references count="1">
          <reference field="0" count="1">
            <x v="1"/>
          </reference>
        </references>
      </pivotArea>
    </format>
    <format dxfId="202">
      <pivotArea field="2" type="button" dataOnly="0" labelOnly="1" outline="0" axis="axisRow" fieldPosition="0"/>
    </format>
    <format dxfId="201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00">
      <pivotArea dataOnly="0" labelOnly="1" fieldPosition="0">
        <references count="2">
          <reference field="0" count="1" selected="0">
            <x v="1"/>
          </reference>
          <reference field="1" count="3">
            <x v="0"/>
            <x v="1"/>
            <x v="3"/>
          </reference>
        </references>
      </pivotArea>
    </format>
    <format dxfId="199">
      <pivotArea dataOnly="0" labelOnly="1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7C76BD-8B46-4F3C-A468-5F15E33F1DFD}" name="PivotTable1" cacheId="30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Hour of Day" colHeaderCaption=" " fieldListSortAscending="1">
  <location ref="A3:N32" firstHeaderRow="1" firstDataRow="2" firstDataCol="1"/>
  <pivotFields count="4">
    <pivotField axis="axisRow" showAll="0">
      <items count="4">
        <item n="A.M. Total" x="0"/>
        <item n="P.M. Total" x="1"/>
        <item n="Unknown hour" sd="0" x="2"/>
        <item t="default"/>
      </items>
    </pivotField>
    <pivotField axis="axisRow" showAll="0">
      <items count="26">
        <item x="0"/>
        <item x="22"/>
        <item x="7"/>
        <item x="4"/>
        <item x="19"/>
        <item x="21"/>
        <item x="2"/>
        <item x="17"/>
        <item x="12"/>
        <item x="11"/>
        <item x="14"/>
        <item x="3"/>
        <item x="24"/>
        <item x="8"/>
        <item x="6"/>
        <item x="18"/>
        <item x="10"/>
        <item x="9"/>
        <item x="1"/>
        <item x="15"/>
        <item x="23"/>
        <item x="16"/>
        <item x="13"/>
        <item x="20"/>
        <item x="5"/>
        <item t="default"/>
      </items>
    </pivotField>
    <pivotField axis="axisCol" showAll="0">
      <items count="13">
        <item x="2"/>
        <item x="11"/>
        <item x="7"/>
        <item x="4"/>
        <item x="6"/>
        <item x="3"/>
        <item x="8"/>
        <item x="0"/>
        <item x="1"/>
        <item x="5"/>
        <item x="10"/>
        <item n="Not stated" x="9"/>
        <item t="default"/>
      </items>
    </pivotField>
    <pivotField dataField="1" showAll="0"/>
  </pivotFields>
  <rowFields count="2">
    <field x="0"/>
    <field x="1"/>
  </rowFields>
  <rowItems count="28">
    <i>
      <x/>
    </i>
    <i r="1">
      <x/>
    </i>
    <i r="1">
      <x v="1"/>
    </i>
    <i r="1">
      <x v="4"/>
    </i>
    <i r="1">
      <x v="6"/>
    </i>
    <i r="1">
      <x v="8"/>
    </i>
    <i r="1">
      <x v="10"/>
    </i>
    <i r="1">
      <x v="12"/>
    </i>
    <i r="1">
      <x v="14"/>
    </i>
    <i r="1">
      <x v="16"/>
    </i>
    <i r="1">
      <x v="18"/>
    </i>
    <i r="1">
      <x v="21"/>
    </i>
    <i r="1">
      <x v="22"/>
    </i>
    <i>
      <x v="1"/>
    </i>
    <i r="1">
      <x v="2"/>
    </i>
    <i r="1">
      <x v="3"/>
    </i>
    <i r="1">
      <x v="5"/>
    </i>
    <i r="1">
      <x v="7"/>
    </i>
    <i r="1">
      <x v="9"/>
    </i>
    <i r="1">
      <x v="11"/>
    </i>
    <i r="1">
      <x v="13"/>
    </i>
    <i r="1">
      <x v="15"/>
    </i>
    <i r="1">
      <x v="17"/>
    </i>
    <i r="1">
      <x v="19"/>
    </i>
    <i r="1">
      <x v="23"/>
    </i>
    <i r="1">
      <x v="24"/>
    </i>
    <i>
      <x v="2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3" baseField="0" baseItem="0" numFmtId="3"/>
  </dataFields>
  <formats count="41">
    <format dxfId="198">
      <pivotArea type="all" dataOnly="0" outline="0" fieldPosition="0"/>
    </format>
    <format dxfId="197">
      <pivotArea outline="0" collapsedLevelsAreSubtotals="1" fieldPosition="0"/>
    </format>
    <format dxfId="196">
      <pivotArea type="origin" dataOnly="0" labelOnly="1" outline="0" fieldPosition="0"/>
    </format>
    <format dxfId="195">
      <pivotArea type="topRight" dataOnly="0" labelOnly="1" outline="0" fieldPosition="0"/>
    </format>
    <format dxfId="194">
      <pivotArea dataOnly="0" labelOnly="1" grandRow="1" outline="0" fieldPosition="0"/>
    </format>
    <format dxfId="193">
      <pivotArea dataOnly="0" labelOnly="1" grandCol="1" outline="0" fieldPosition="0"/>
    </format>
    <format dxfId="192">
      <pivotArea type="all" dataOnly="0" outline="0" fieldPosition="0"/>
    </format>
    <format dxfId="191">
      <pivotArea outline="0" collapsedLevelsAreSubtotals="1" fieldPosition="0"/>
    </format>
    <format dxfId="190">
      <pivotArea type="origin" dataOnly="0" labelOnly="1" outline="0" fieldPosition="0"/>
    </format>
    <format dxfId="189">
      <pivotArea type="topRight" dataOnly="0" labelOnly="1" outline="0" fieldPosition="0"/>
    </format>
    <format dxfId="188">
      <pivotArea dataOnly="0" labelOnly="1" grandRow="1" outline="0" fieldPosition="0"/>
    </format>
    <format dxfId="187">
      <pivotArea dataOnly="0" labelOnly="1" grandCol="1" outline="0" fieldPosition="0"/>
    </format>
    <format dxfId="186">
      <pivotArea type="all" dataOnly="0" outline="0" fieldPosition="0"/>
    </format>
    <format dxfId="185">
      <pivotArea outline="0" collapsedLevelsAreSubtotals="1" fieldPosition="0"/>
    </format>
    <format dxfId="184">
      <pivotArea type="origin" dataOnly="0" labelOnly="1" outline="0" fieldPosition="0"/>
    </format>
    <format dxfId="183">
      <pivotArea type="topRight" dataOnly="0" labelOnly="1" outline="0" fieldPosition="0"/>
    </format>
    <format dxfId="182">
      <pivotArea dataOnly="0" labelOnly="1" grandRow="1" outline="0" fieldPosition="0"/>
    </format>
    <format dxfId="181">
      <pivotArea dataOnly="0" labelOnly="1" grandCol="1" outline="0" fieldPosition="0"/>
    </format>
    <format dxfId="180">
      <pivotArea grandRow="1" outline="0" collapsedLevelsAreSubtotals="1" fieldPosition="0"/>
    </format>
    <format dxfId="179">
      <pivotArea dataOnly="0" labelOnly="1" fieldPosition="0">
        <references count="1">
          <reference field="2" count="0"/>
        </references>
      </pivotArea>
    </format>
    <format dxfId="178">
      <pivotArea dataOnly="0" labelOnly="1" grandCol="1" outline="0" fieldPosition="0"/>
    </format>
    <format dxfId="177">
      <pivotArea outline="0" fieldPosition="0">
        <references count="1">
          <reference field="4294967294" count="1">
            <x v="0"/>
          </reference>
        </references>
      </pivotArea>
    </format>
    <format dxfId="176">
      <pivotArea dataOnly="0" labelOnly="1" fieldPosition="0">
        <references count="1">
          <reference field="0" count="1">
            <x v="0"/>
          </reference>
        </references>
      </pivotArea>
    </format>
    <format dxfId="175">
      <pivotArea dataOnly="0" labelOnly="1" fieldPosition="0">
        <references count="1">
          <reference field="0" count="1">
            <x v="1"/>
          </reference>
        </references>
      </pivotArea>
    </format>
    <format dxfId="174">
      <pivotArea dataOnly="0" labelOnly="1" fieldPosition="0">
        <references count="1">
          <reference field="0" count="1">
            <x v="2"/>
          </reference>
        </references>
      </pivotArea>
    </format>
    <format dxfId="173">
      <pivotArea field="2" type="button" dataOnly="0" labelOnly="1" outline="0" axis="axisCol" fieldPosition="0"/>
    </format>
    <format dxfId="172">
      <pivotArea field="0" type="button" dataOnly="0" labelOnly="1" outline="0" axis="axisRow" fieldPosition="0"/>
    </format>
    <format dxfId="171">
      <pivotArea dataOnly="0" labelOnly="1" grandCol="1" outline="0" fieldPosition="0"/>
    </format>
    <format dxfId="170">
      <pivotArea field="2" type="button" dataOnly="0" labelOnly="1" outline="0" axis="axisCol" fieldPosition="0"/>
    </format>
    <format dxfId="169">
      <pivotArea dataOnly="0" labelOnly="1" grandRow="1" outline="0" fieldPosition="0"/>
    </format>
    <format dxfId="168">
      <pivotArea field="0" type="button" dataOnly="0" labelOnly="1" outline="0" axis="axisRow" fieldPosition="0"/>
    </format>
    <format dxfId="167">
      <pivotArea dataOnly="0" labelOnly="1" fieldPosition="0">
        <references count="1">
          <reference field="0" count="0"/>
        </references>
      </pivotArea>
    </format>
    <format dxfId="166">
      <pivotArea dataOnly="0" labelOnly="1" grandRow="1" outline="0" fieldPosition="0"/>
    </format>
    <format dxfId="165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4"/>
            <x v="6"/>
            <x v="8"/>
            <x v="10"/>
            <x v="12"/>
            <x v="14"/>
            <x v="16"/>
            <x v="18"/>
            <x v="21"/>
            <x v="22"/>
          </reference>
        </references>
      </pivotArea>
    </format>
    <format dxfId="164">
      <pivotArea dataOnly="0" labelOnly="1" fieldPosition="0">
        <references count="2">
          <reference field="0" count="1" selected="0">
            <x v="1"/>
          </reference>
          <reference field="1" count="12">
            <x v="2"/>
            <x v="3"/>
            <x v="5"/>
            <x v="7"/>
            <x v="9"/>
            <x v="11"/>
            <x v="13"/>
            <x v="15"/>
            <x v="17"/>
            <x v="19"/>
            <x v="23"/>
            <x v="24"/>
          </reference>
        </references>
      </pivotArea>
    </format>
    <format dxfId="163">
      <pivotArea field="0" type="button" dataOnly="0" labelOnly="1" outline="0" axis="axisRow" fieldPosition="0"/>
    </format>
    <format dxfId="162">
      <pivotArea dataOnly="0" labelOnly="1" fieldPosition="0">
        <references count="1">
          <reference field="0" count="0"/>
        </references>
      </pivotArea>
    </format>
    <format dxfId="161">
      <pivotArea dataOnly="0" labelOnly="1" grandRow="1" outline="0" fieldPosition="0"/>
    </format>
    <format dxfId="160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4"/>
            <x v="6"/>
            <x v="8"/>
            <x v="10"/>
            <x v="12"/>
            <x v="14"/>
            <x v="16"/>
            <x v="18"/>
            <x v="21"/>
            <x v="22"/>
          </reference>
        </references>
      </pivotArea>
    </format>
    <format dxfId="159">
      <pivotArea dataOnly="0" labelOnly="1" fieldPosition="0">
        <references count="2">
          <reference field="0" count="1" selected="0">
            <x v="1"/>
          </reference>
          <reference field="1" count="12">
            <x v="2"/>
            <x v="3"/>
            <x v="5"/>
            <x v="7"/>
            <x v="9"/>
            <x v="11"/>
            <x v="13"/>
            <x v="15"/>
            <x v="17"/>
            <x v="19"/>
            <x v="23"/>
            <x v="24"/>
          </reference>
        </references>
      </pivotArea>
    </format>
    <format dxfId="158">
      <pivotArea dataOnly="0" labelOnly="1" fieldPosition="0">
        <references count="1">
          <reference field="2" count="0"/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4071EF-EBA3-4EE4-87FD-BDF0D453E47B}" name="PivotTable1" cacheId="31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6" indent="0" outline="1" outlineData="1" multipleFieldFilters="0" rowHeaderCaption="Hour of Day" colHeaderCaption=" " fieldListSortAscending="1">
  <location ref="A3:N32" firstHeaderRow="1" firstDataRow="2" firstDataCol="1"/>
  <pivotFields count="4">
    <pivotField axis="axisRow" showAll="0">
      <items count="4">
        <item n="A.M. Total" x="0"/>
        <item n="P.M. Total" x="1"/>
        <item n="Unknown hour" sd="0" x="2"/>
        <item t="default"/>
      </items>
    </pivotField>
    <pivotField axis="axisRow" showAll="0">
      <items count="26">
        <item x="24"/>
        <item x="0"/>
        <item x="23"/>
        <item x="21"/>
        <item x="3"/>
        <item x="12"/>
        <item x="4"/>
        <item x="22"/>
        <item x="5"/>
        <item x="13"/>
        <item x="6"/>
        <item x="14"/>
        <item x="7"/>
        <item x="15"/>
        <item x="8"/>
        <item x="16"/>
        <item x="9"/>
        <item x="17"/>
        <item x="20"/>
        <item x="18"/>
        <item x="19"/>
        <item x="1"/>
        <item x="2"/>
        <item x="10"/>
        <item x="11"/>
        <item t="default"/>
      </items>
    </pivotField>
    <pivotField axis="axisCol" showAll="0">
      <items count="13">
        <item x="3"/>
        <item x="0"/>
        <item x="4"/>
        <item x="10"/>
        <item x="6"/>
        <item x="11"/>
        <item x="5"/>
        <item x="1"/>
        <item x="9"/>
        <item x="7"/>
        <item x="8"/>
        <item n="Not stated" x="2"/>
        <item t="default"/>
      </items>
    </pivotField>
    <pivotField dataField="1" showAll="0"/>
  </pivotFields>
  <rowFields count="2">
    <field x="0"/>
    <field x="1"/>
  </rowFields>
  <rowItems count="28">
    <i>
      <x/>
    </i>
    <i r="1">
      <x/>
    </i>
    <i r="1">
      <x v="1"/>
    </i>
    <i r="1">
      <x v="4"/>
    </i>
    <i r="1">
      <x v="6"/>
    </i>
    <i r="1">
      <x v="8"/>
    </i>
    <i r="1">
      <x v="10"/>
    </i>
    <i r="1">
      <x v="12"/>
    </i>
    <i r="1">
      <x v="14"/>
    </i>
    <i r="1">
      <x v="16"/>
    </i>
    <i r="1">
      <x v="18"/>
    </i>
    <i r="1">
      <x v="21"/>
    </i>
    <i r="1">
      <x v="22"/>
    </i>
    <i>
      <x v="1"/>
    </i>
    <i r="1">
      <x v="2"/>
    </i>
    <i r="1">
      <x v="3"/>
    </i>
    <i r="1">
      <x v="5"/>
    </i>
    <i r="1">
      <x v="7"/>
    </i>
    <i r="1">
      <x v="9"/>
    </i>
    <i r="1">
      <x v="11"/>
    </i>
    <i r="1">
      <x v="13"/>
    </i>
    <i r="1">
      <x v="15"/>
    </i>
    <i r="1">
      <x v="17"/>
    </i>
    <i r="1">
      <x v="19"/>
    </i>
    <i r="1">
      <x v="23"/>
    </i>
    <i r="1">
      <x v="24"/>
    </i>
    <i>
      <x v="2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3" baseField="0" baseItem="0" numFmtId="3"/>
  </dataFields>
  <formats count="42">
    <format dxfId="157">
      <pivotArea type="all" dataOnly="0" outline="0" fieldPosition="0"/>
    </format>
    <format dxfId="156">
      <pivotArea outline="0" collapsedLevelsAreSubtotals="1" fieldPosition="0"/>
    </format>
    <format dxfId="155">
      <pivotArea type="origin" dataOnly="0" labelOnly="1" outline="0" fieldPosition="0"/>
    </format>
    <format dxfId="154">
      <pivotArea type="topRight" dataOnly="0" labelOnly="1" outline="0" fieldPosition="0"/>
    </format>
    <format dxfId="153">
      <pivotArea dataOnly="0" labelOnly="1" grandRow="1" outline="0" fieldPosition="0"/>
    </format>
    <format dxfId="152">
      <pivotArea dataOnly="0" labelOnly="1" grandCol="1" outline="0" fieldPosition="0"/>
    </format>
    <format dxfId="151">
      <pivotArea type="all" dataOnly="0" outline="0" fieldPosition="0"/>
    </format>
    <format dxfId="150">
      <pivotArea outline="0" collapsedLevelsAreSubtotals="1" fieldPosition="0"/>
    </format>
    <format dxfId="149">
      <pivotArea type="origin" dataOnly="0" labelOnly="1" outline="0" fieldPosition="0"/>
    </format>
    <format dxfId="148">
      <pivotArea type="topRight" dataOnly="0" labelOnly="1" outline="0" fieldPosition="0"/>
    </format>
    <format dxfId="147">
      <pivotArea dataOnly="0" labelOnly="1" grandRow="1" outline="0" fieldPosition="0"/>
    </format>
    <format dxfId="146">
      <pivotArea dataOnly="0" labelOnly="1" grandCol="1" outline="0" fieldPosition="0"/>
    </format>
    <format dxfId="145">
      <pivotArea type="all" dataOnly="0" outline="0" fieldPosition="0"/>
    </format>
    <format dxfId="144">
      <pivotArea outline="0" collapsedLevelsAreSubtotals="1" fieldPosition="0"/>
    </format>
    <format dxfId="143">
      <pivotArea type="origin" dataOnly="0" labelOnly="1" outline="0" fieldPosition="0"/>
    </format>
    <format dxfId="142">
      <pivotArea type="topRight" dataOnly="0" labelOnly="1" outline="0" fieldPosition="0"/>
    </format>
    <format dxfId="141">
      <pivotArea dataOnly="0" labelOnly="1" grandRow="1" outline="0" fieldPosition="0"/>
    </format>
    <format dxfId="140">
      <pivotArea dataOnly="0" labelOnly="1" grandCol="1" outline="0" fieldPosition="0"/>
    </format>
    <format dxfId="139">
      <pivotArea grandRow="1" outline="0" collapsedLevelsAreSubtotals="1" fieldPosition="0"/>
    </format>
    <format dxfId="138">
      <pivotArea dataOnly="0" labelOnly="1" fieldPosition="0">
        <references count="1">
          <reference field="2" count="0"/>
        </references>
      </pivotArea>
    </format>
    <format dxfId="137">
      <pivotArea dataOnly="0" labelOnly="1" grandCol="1" outline="0" fieldPosition="0"/>
    </format>
    <format dxfId="136">
      <pivotArea outline="0" fieldPosition="0">
        <references count="1">
          <reference field="4294967294" count="1">
            <x v="0"/>
          </reference>
        </references>
      </pivotArea>
    </format>
    <format dxfId="135">
      <pivotArea collapsedLevelsAreSubtotals="1" fieldPosition="0">
        <references count="1">
          <reference field="0" count="1">
            <x v="1"/>
          </reference>
        </references>
      </pivotArea>
    </format>
    <format dxfId="134">
      <pivotArea dataOnly="0" labelOnly="1" fieldPosition="0">
        <references count="1">
          <reference field="0" count="1">
            <x v="1"/>
          </reference>
        </references>
      </pivotArea>
    </format>
    <format dxfId="133">
      <pivotArea dataOnly="0" labelOnly="1" fieldPosition="0">
        <references count="1">
          <reference field="0" count="1">
            <x v="0"/>
          </reference>
        </references>
      </pivotArea>
    </format>
    <format dxfId="132">
      <pivotArea dataOnly="0" labelOnly="1" fieldPosition="0">
        <references count="1">
          <reference field="0" count="1">
            <x v="2"/>
          </reference>
        </references>
      </pivotArea>
    </format>
    <format dxfId="131">
      <pivotArea field="2" type="button" dataOnly="0" labelOnly="1" outline="0" axis="axisCol" fieldPosition="0"/>
    </format>
    <format dxfId="130">
      <pivotArea field="2" type="button" dataOnly="0" labelOnly="1" outline="0" axis="axisCol" fieldPosition="0"/>
    </format>
    <format dxfId="129">
      <pivotArea field="0" type="button" dataOnly="0" labelOnly="1" outline="0" axis="axisRow" fieldPosition="0"/>
    </format>
    <format dxfId="128">
      <pivotArea dataOnly="0" labelOnly="1" grandCol="1" outline="0" fieldPosition="0"/>
    </format>
    <format dxfId="127">
      <pivotArea dataOnly="0" labelOnly="1" grandRow="1" outline="0" fieldPosition="0"/>
    </format>
    <format dxfId="126">
      <pivotArea field="0" type="button" dataOnly="0" labelOnly="1" outline="0" axis="axisRow" fieldPosition="0"/>
    </format>
    <format dxfId="125">
      <pivotArea dataOnly="0" labelOnly="1" fieldPosition="0">
        <references count="1">
          <reference field="0" count="0"/>
        </references>
      </pivotArea>
    </format>
    <format dxfId="124">
      <pivotArea dataOnly="0" labelOnly="1" grandRow="1" outline="0" fieldPosition="0"/>
    </format>
    <format dxfId="123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4"/>
            <x v="6"/>
            <x v="8"/>
            <x v="10"/>
            <x v="12"/>
            <x v="14"/>
            <x v="16"/>
            <x v="18"/>
            <x v="21"/>
            <x v="22"/>
          </reference>
        </references>
      </pivotArea>
    </format>
    <format dxfId="122">
      <pivotArea dataOnly="0" labelOnly="1" fieldPosition="0">
        <references count="2">
          <reference field="0" count="1" selected="0">
            <x v="1"/>
          </reference>
          <reference field="1" count="12">
            <x v="2"/>
            <x v="3"/>
            <x v="5"/>
            <x v="7"/>
            <x v="9"/>
            <x v="11"/>
            <x v="13"/>
            <x v="15"/>
            <x v="17"/>
            <x v="19"/>
            <x v="23"/>
            <x v="24"/>
          </reference>
        </references>
      </pivotArea>
    </format>
    <format dxfId="121">
      <pivotArea field="0" type="button" dataOnly="0" labelOnly="1" outline="0" axis="axisRow" fieldPosition="0"/>
    </format>
    <format dxfId="120">
      <pivotArea dataOnly="0" labelOnly="1" fieldPosition="0">
        <references count="1">
          <reference field="0" count="0"/>
        </references>
      </pivotArea>
    </format>
    <format dxfId="119">
      <pivotArea dataOnly="0" labelOnly="1" grandRow="1" outline="0" fieldPosition="0"/>
    </format>
    <format dxfId="118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4"/>
            <x v="6"/>
            <x v="8"/>
            <x v="10"/>
            <x v="12"/>
            <x v="14"/>
            <x v="16"/>
            <x v="18"/>
            <x v="21"/>
            <x v="22"/>
          </reference>
        </references>
      </pivotArea>
    </format>
    <format dxfId="117">
      <pivotArea dataOnly="0" labelOnly="1" fieldPosition="0">
        <references count="2">
          <reference field="0" count="1" selected="0">
            <x v="1"/>
          </reference>
          <reference field="1" count="12">
            <x v="2"/>
            <x v="3"/>
            <x v="5"/>
            <x v="7"/>
            <x v="9"/>
            <x v="11"/>
            <x v="13"/>
            <x v="15"/>
            <x v="17"/>
            <x v="19"/>
            <x v="23"/>
            <x v="24"/>
          </reference>
        </references>
      </pivotArea>
    </format>
    <format dxfId="116">
      <pivotArea dataOnly="0" labelOnly="1" fieldPosition="0">
        <references count="1">
          <reference field="2" count="0"/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C09977-B2E5-4AB6-9FE5-3C192EA88D43}" name="PivotTable1" cacheId="32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Movement Preceding Crash" colHeaderCaption=" " fieldListSortAscending="1">
  <location ref="A3:J25" firstHeaderRow="1" firstDataRow="2" firstDataCol="1"/>
  <pivotFields count="3">
    <pivotField axis="axisRow" showAll="0">
      <items count="21">
        <item x="15"/>
        <item x="17"/>
        <item x="10"/>
        <item x="16"/>
        <item x="8"/>
        <item x="1"/>
        <item x="6"/>
        <item x="3"/>
        <item x="2"/>
        <item x="0"/>
        <item x="19"/>
        <item x="4"/>
        <item x="14"/>
        <item x="7"/>
        <item n="Parked*" x="12"/>
        <item x="13"/>
        <item x="5"/>
        <item x="9"/>
        <item x="18"/>
        <item x="11"/>
        <item t="default"/>
      </items>
    </pivotField>
    <pivotField axis="axisCol" showAll="0">
      <items count="9">
        <item x="1"/>
        <item x="5"/>
        <item x="4"/>
        <item x="0"/>
        <item x="7"/>
        <item x="3"/>
        <item x="6"/>
        <item x="2"/>
        <item t="default"/>
      </items>
    </pivotField>
    <pivotField dataField="1"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 " fld="2" baseField="0" baseItem="0" numFmtId="3"/>
  </dataFields>
  <formats count="29">
    <format dxfId="115">
      <pivotArea type="all" dataOnly="0" outline="0" fieldPosition="0"/>
    </format>
    <format dxfId="114">
      <pivotArea outline="0" collapsedLevelsAreSubtotals="1" fieldPosition="0"/>
    </format>
    <format dxfId="113">
      <pivotArea type="origin" dataOnly="0" labelOnly="1" outline="0" fieldPosition="0"/>
    </format>
    <format dxfId="112">
      <pivotArea type="topRight" dataOnly="0" labelOnly="1" outline="0" fieldPosition="0"/>
    </format>
    <format dxfId="111">
      <pivotArea dataOnly="0" labelOnly="1" grandRow="1" outline="0" fieldPosition="0"/>
    </format>
    <format dxfId="110">
      <pivotArea dataOnly="0" labelOnly="1" grandCol="1" outline="0" fieldPosition="0"/>
    </format>
    <format dxfId="109">
      <pivotArea type="all" dataOnly="0" outline="0" fieldPosition="0"/>
    </format>
    <format dxfId="108">
      <pivotArea outline="0" collapsedLevelsAreSubtotals="1" fieldPosition="0"/>
    </format>
    <format dxfId="107">
      <pivotArea type="origin" dataOnly="0" labelOnly="1" outline="0" fieldPosition="0"/>
    </format>
    <format dxfId="106">
      <pivotArea type="topRight" dataOnly="0" labelOnly="1" outline="0" fieldPosition="0"/>
    </format>
    <format dxfId="105">
      <pivotArea dataOnly="0" labelOnly="1" grandRow="1" outline="0" fieldPosition="0"/>
    </format>
    <format dxfId="104">
      <pivotArea dataOnly="0" labelOnly="1" grandCol="1" outline="0" fieldPosition="0"/>
    </format>
    <format dxfId="103">
      <pivotArea type="all" dataOnly="0" outline="0" fieldPosition="0"/>
    </format>
    <format dxfId="102">
      <pivotArea outline="0" collapsedLevelsAreSubtotals="1" fieldPosition="0"/>
    </format>
    <format dxfId="101">
      <pivotArea type="origin" dataOnly="0" labelOnly="1" outline="0" fieldPosition="0"/>
    </format>
    <format dxfId="100">
      <pivotArea type="topRight" dataOnly="0" labelOnly="1" outline="0" fieldPosition="0"/>
    </format>
    <format dxfId="99">
      <pivotArea dataOnly="0" labelOnly="1" grandRow="1" outline="0" fieldPosition="0"/>
    </format>
    <format dxfId="98">
      <pivotArea dataOnly="0" labelOnly="1" grandCol="1" outline="0" fieldPosition="0"/>
    </format>
    <format dxfId="97">
      <pivotArea grandRow="1" outline="0" collapsedLevelsAreSubtotals="1" fieldPosition="0"/>
    </format>
    <format dxfId="96">
      <pivotArea outline="0" fieldPosition="0">
        <references count="1">
          <reference field="4294967294" count="1">
            <x v="0"/>
          </reference>
        </references>
      </pivotArea>
    </format>
    <format dxfId="95">
      <pivotArea dataOnly="0" labelOnly="1" fieldPosition="0">
        <references count="1">
          <reference field="1" count="0"/>
        </references>
      </pivotArea>
    </format>
    <format dxfId="94">
      <pivotArea dataOnly="0" labelOnly="1" grandCol="1" outline="0" fieldPosition="0"/>
    </format>
    <format dxfId="93">
      <pivotArea dataOnly="0" labelOnly="1" fieldPosition="0">
        <references count="1">
          <reference field="1" count="1">
            <x v="6"/>
          </reference>
        </references>
      </pivotArea>
    </format>
    <format dxfId="92">
      <pivotArea field="1" type="button" dataOnly="0" labelOnly="1" outline="0" axis="axisCol" fieldPosition="0"/>
    </format>
    <format dxfId="91">
      <pivotArea field="1" type="button" dataOnly="0" labelOnly="1" outline="0" axis="axisCol" fieldPosition="0"/>
    </format>
    <format dxfId="90">
      <pivotArea field="0" type="button" dataOnly="0" labelOnly="1" outline="0" axis="axisRow" fieldPosition="0"/>
    </format>
    <format dxfId="89">
      <pivotArea dataOnly="0" labelOnly="1" grandCol="1" outline="0" fieldPosition="0"/>
    </format>
    <format dxfId="88">
      <pivotArea dataOnly="0" labelOnly="1" grandRow="1" outline="0" fieldPosition="0"/>
    </format>
    <format dxfId="87">
      <pivotArea dataOnly="0" labelOnly="1" fieldPosition="0">
        <references count="1">
          <reference field="1" count="0"/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F6361D-8CDD-4DE0-A0AF-93594CD25E40}" name="PivotTable1" cacheId="37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6" indent="0" outline="1" outlineData="1" multipleFieldFilters="0" rowHeaderCaption="Movement Preceding Crash" colHeaderCaption=" " fieldListSortAscending="1">
  <location ref="A3:J25" firstHeaderRow="1" firstDataRow="2" firstDataCol="1"/>
  <pivotFields count="3">
    <pivotField axis="axisRow" showAll="0">
      <items count="21">
        <item x="16"/>
        <item x="12"/>
        <item x="17"/>
        <item x="13"/>
        <item x="9"/>
        <item x="2"/>
        <item x="7"/>
        <item x="4"/>
        <item x="3"/>
        <item x="0"/>
        <item x="11"/>
        <item x="5"/>
        <item x="15"/>
        <item x="8"/>
        <item n="Parked*" x="18"/>
        <item x="14"/>
        <item x="6"/>
        <item x="10"/>
        <item x="1"/>
        <item x="19"/>
        <item t="default"/>
      </items>
    </pivotField>
    <pivotField axis="axisCol" showAll="0">
      <items count="9">
        <item x="1"/>
        <item x="5"/>
        <item x="4"/>
        <item x="0"/>
        <item x="7"/>
        <item x="3"/>
        <item x="6"/>
        <item x="2"/>
        <item t="default"/>
      </items>
    </pivotField>
    <pivotField dataField="1"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 " fld="2" baseField="0" baseItem="7" numFmtId="3"/>
  </dataFields>
  <formats count="30">
    <format dxfId="86">
      <pivotArea type="all" dataOnly="0" outline="0" fieldPosition="0"/>
    </format>
    <format dxfId="85">
      <pivotArea outline="0" collapsedLevelsAreSubtotals="1" fieldPosition="0"/>
    </format>
    <format dxfId="84">
      <pivotArea type="origin" dataOnly="0" labelOnly="1" outline="0" fieldPosition="0"/>
    </format>
    <format dxfId="83">
      <pivotArea type="topRight" dataOnly="0" labelOnly="1" outline="0" fieldPosition="0"/>
    </format>
    <format dxfId="82">
      <pivotArea dataOnly="0" labelOnly="1" grandRow="1" outline="0" fieldPosition="0"/>
    </format>
    <format dxfId="81">
      <pivotArea dataOnly="0" labelOnly="1" grandCol="1" outline="0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type="origin" dataOnly="0" labelOnly="1" outline="0" fieldPosition="0"/>
    </format>
    <format dxfId="77">
      <pivotArea type="topRight" dataOnly="0" labelOnly="1" outline="0" fieldPosition="0"/>
    </format>
    <format dxfId="76">
      <pivotArea dataOnly="0" labelOnly="1" grandRow="1" outline="0" fieldPosition="0"/>
    </format>
    <format dxfId="75">
      <pivotArea dataOnly="0" labelOnly="1" grandCol="1" outline="0" fieldPosition="0"/>
    </format>
    <format dxfId="74">
      <pivotArea type="all" dataOnly="0" outline="0" fieldPosition="0"/>
    </format>
    <format dxfId="73">
      <pivotArea outline="0" collapsedLevelsAreSubtotals="1" fieldPosition="0"/>
    </format>
    <format dxfId="72">
      <pivotArea type="origin" dataOnly="0" labelOnly="1" outline="0" fieldPosition="0"/>
    </format>
    <format dxfId="71">
      <pivotArea type="topRight" dataOnly="0" labelOnly="1" outline="0" fieldPosition="0"/>
    </format>
    <format dxfId="70">
      <pivotArea dataOnly="0" labelOnly="1" grandRow="1" outline="0" fieldPosition="0"/>
    </format>
    <format dxfId="69">
      <pivotArea dataOnly="0" labelOnly="1" grandCol="1" outline="0" fieldPosition="0"/>
    </format>
    <format dxfId="68">
      <pivotArea grandRow="1" outline="0" collapsedLevelsAreSubtotals="1" fieldPosition="0"/>
    </format>
    <format dxfId="67">
      <pivotArea outline="0" fieldPosition="0">
        <references count="1">
          <reference field="4294967294" count="1">
            <x v="0"/>
          </reference>
        </references>
      </pivotArea>
    </format>
    <format dxfId="66">
      <pivotArea dataOnly="0" labelOnly="1" fieldPosition="0">
        <references count="1">
          <reference field="1" count="1">
            <x v="6"/>
          </reference>
        </references>
      </pivotArea>
    </format>
    <format dxfId="65">
      <pivotArea dataOnly="0" labelOnly="1" fieldPosition="0">
        <references count="1">
          <reference field="1" count="0"/>
        </references>
      </pivotArea>
    </format>
    <format dxfId="64">
      <pivotArea dataOnly="0" labelOnly="1" grandCol="1" outline="0" fieldPosition="0"/>
    </format>
    <format dxfId="63">
      <pivotArea field="1" type="button" dataOnly="0" labelOnly="1" outline="0" axis="axisCol" fieldPosition="0"/>
    </format>
    <format dxfId="62">
      <pivotArea field="1" type="button" dataOnly="0" labelOnly="1" outline="0" axis="axisCol" fieldPosition="0"/>
    </format>
    <format dxfId="61">
      <pivotArea field="0" type="button" dataOnly="0" labelOnly="1" outline="0" axis="axisRow" fieldPosition="0"/>
    </format>
    <format dxfId="60">
      <pivotArea dataOnly="0" labelOnly="1" grandCol="1" outline="0" fieldPosition="0"/>
    </format>
    <format dxfId="59">
      <pivotArea dataOnly="0" labelOnly="1" grandRow="1" outline="0" fieldPosition="0"/>
    </format>
    <format dxfId="58">
      <pivotArea dataOnly="0" labelOnly="1" fieldPosition="0">
        <references count="1">
          <reference field="1" count="0"/>
        </references>
      </pivotArea>
    </format>
    <format dxfId="57">
      <pivotArea field="1" type="button" dataOnly="0" labelOnly="1" outline="0" axis="axisCol" fieldPosition="0"/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2E7E3F-1C28-4240-A6B2-56D77C04578F}" name="PivotTable5" cacheId="28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Inattention" colHeaderCaption=" " fieldListSortAscending="1">
  <location ref="A3:K19" firstHeaderRow="1" firstDataRow="3" firstDataCol="1"/>
  <pivotFields count="4">
    <pivotField axis="axisCol" showAll="0" sortType="ascending" defaultSubtotal="0">
      <items count="5">
        <item x="0"/>
        <item x="4"/>
        <item x="1"/>
        <item x="2"/>
        <item x="3"/>
      </items>
    </pivotField>
    <pivotField axis="axisCol" showAll="0" defaultSubtotal="0">
      <items count="2">
        <item x="0"/>
        <item x="1"/>
      </items>
    </pivotField>
    <pivotField axis="axisRow" showAll="0" defaultSubtotal="0">
      <items count="13">
        <item x="9"/>
        <item x="0"/>
        <item x="5"/>
        <item x="8"/>
        <item x="3"/>
        <item x="2"/>
        <item x="10"/>
        <item x="4"/>
        <item x="12"/>
        <item x="6"/>
        <item x="11"/>
        <item x="1"/>
        <item x="7"/>
      </items>
    </pivotField>
    <pivotField dataField="1" showAll="0" defaultSubtota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2">
    <field x="0"/>
    <field x="1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2" baseItem="6" numFmtId="3"/>
  </dataFields>
  <formats count="38">
    <format dxfId="56">
      <pivotArea type="all" dataOnly="0" outline="0" fieldPosition="0"/>
    </format>
    <format dxfId="55">
      <pivotArea outline="0" fieldPosition="0">
        <references count="1">
          <reference field="4294967294" count="1">
            <x v="0"/>
          </reference>
        </references>
      </pivotArea>
    </format>
    <format dxfId="54">
      <pivotArea type="all" dataOnly="0" outline="0" fieldPosition="0"/>
    </format>
    <format dxfId="53">
      <pivotArea outline="0" collapsedLevelsAreSubtotals="1" fieldPosition="0"/>
    </format>
    <format dxfId="52">
      <pivotArea type="origin" dataOnly="0" labelOnly="1" outline="0" fieldPosition="0"/>
    </format>
    <format dxfId="51">
      <pivotArea field="0" type="button" dataOnly="0" labelOnly="1" outline="0" axis="axisCol" fieldPosition="0"/>
    </format>
    <format dxfId="50">
      <pivotArea field="1" type="button" dataOnly="0" labelOnly="1" outline="0" axis="axisCol" fieldPosition="1"/>
    </format>
    <format dxfId="49">
      <pivotArea type="topRight" dataOnly="0" labelOnly="1" outline="0" fieldPosition="0"/>
    </format>
    <format dxfId="48">
      <pivotArea field="2" type="button" dataOnly="0" labelOnly="1" outline="0" axis="axisRow" fieldPosition="0"/>
    </format>
    <format dxfId="47">
      <pivotArea dataOnly="0" labelOnly="1" fieldPosition="0">
        <references count="1">
          <reference field="2" count="0"/>
        </references>
      </pivotArea>
    </format>
    <format dxfId="46">
      <pivotArea dataOnly="0" labelOnly="1" grandRow="1" outline="0" fieldPosition="0"/>
    </format>
    <format dxfId="45">
      <pivotArea dataOnly="0" labelOnly="1" fieldPosition="0">
        <references count="1">
          <reference field="0" count="0"/>
        </references>
      </pivotArea>
    </format>
    <format dxfId="4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3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2">
      <pivotArea type="all" dataOnly="0" outline="0" fieldPosition="0"/>
    </format>
    <format dxfId="41">
      <pivotArea outline="0" collapsedLevelsAreSubtotals="1" fieldPosition="0"/>
    </format>
    <format dxfId="40">
      <pivotArea type="origin" dataOnly="0" labelOnly="1" outline="0" fieldPosition="0"/>
    </format>
    <format dxfId="39">
      <pivotArea field="0" type="button" dataOnly="0" labelOnly="1" outline="0" axis="axisCol" fieldPosition="0"/>
    </format>
    <format dxfId="38">
      <pivotArea field="1" type="button" dataOnly="0" labelOnly="1" outline="0" axis="axisCol" fieldPosition="1"/>
    </format>
    <format dxfId="37">
      <pivotArea type="topRight" dataOnly="0" labelOnly="1" outline="0" fieldPosition="0"/>
    </format>
    <format dxfId="36">
      <pivotArea field="2" type="button" dataOnly="0" labelOnly="1" outline="0" axis="axisRow" fieldPosition="0"/>
    </format>
    <format dxfId="35">
      <pivotArea dataOnly="0" labelOnly="1" fieldPosition="0">
        <references count="1">
          <reference field="2" count="0"/>
        </references>
      </pivotArea>
    </format>
    <format dxfId="34">
      <pivotArea dataOnly="0" labelOnly="1" grandRow="1" outline="0" fieldPosition="0"/>
    </format>
    <format dxfId="33">
      <pivotArea dataOnly="0" labelOnly="1" fieldPosition="0">
        <references count="1">
          <reference field="0" count="0"/>
        </references>
      </pivotArea>
    </format>
    <format dxfId="32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3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30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8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7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6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5">
      <pivotArea dataOnly="0" labelOnly="1" fieldPosition="0">
        <references count="1">
          <reference field="0" count="2">
            <x v="0"/>
            <x v="1"/>
          </reference>
        </references>
      </pivotArea>
    </format>
    <format dxfId="24">
      <pivotArea dataOnly="0" labelOnly="1" fieldPosition="0">
        <references count="1">
          <reference field="0" count="1">
            <x v="2"/>
          </reference>
        </references>
      </pivotArea>
    </format>
    <format dxfId="23">
      <pivotArea field="2" type="button" dataOnly="0" labelOnly="1" outline="0" axis="axisRow" fieldPosition="0"/>
    </format>
    <format dxfId="22">
      <pivotArea dataOnly="0" labelOnly="1" grandRow="1" outline="0" fieldPosition="0"/>
    </format>
    <format dxfId="21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">
      <pivotArea dataOnly="0" labelOnly="1" fieldPosition="0">
        <references count="1">
          <reference field="0" count="1">
            <x v="3"/>
          </reference>
        </references>
      </pivotArea>
    </format>
    <format dxfId="19">
      <pivotArea dataOnly="0" labelOnly="1" fieldPosition="0">
        <references count="1">
          <reference field="0" count="1">
            <x v="4"/>
          </reference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0EF4C6-5B18-454B-B5B7-633A7C68D3C1}" name="PivotTable2" cacheId="33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fieldListSortAscending="1">
  <location ref="A43:B56" firstHeaderRow="1" firstDataRow="1" firstDataCol="1"/>
  <pivotFields count="2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n="Not stated" x="11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Count" fld="1" baseField="0" baseItem="0" numFmtId="3"/>
  </dataField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E415F8-9BA2-4E05-A811-3556A7A649F0}" name="PivotTable1" cacheId="29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outline="1" outlineData="1" multipleFieldFilters="0" rowHeaderCaption="AGE" colHeaderCaption=" " fieldListSortAscending="1">
  <location ref="A14:C34" firstHeaderRow="1" firstDataRow="2" firstDataCol="1"/>
  <pivotFields count="3">
    <pivotField axis="axisCol" showAll="0">
      <items count="3">
        <item x="0"/>
        <item x="1"/>
        <item t="default"/>
      </items>
    </pivotField>
    <pivotField axis="axisRow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dataField="1" showAll="0"/>
  </pivotFields>
  <rowFields count="1">
    <field x="1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0"/>
  </colFields>
  <colItems count="2">
    <i>
      <x/>
    </i>
    <i>
      <x v="1"/>
    </i>
  </colItems>
  <dataFields count="1">
    <dataField name=" " fld="2" baseField="1" baseItem="2" numFmtId="3"/>
  </dataFields>
  <formats count="19"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field="0" type="button" dataOnly="0" labelOnly="1" outline="0" axis="axisCol" fieldPosition="0"/>
    </format>
    <format dxfId="14">
      <pivotArea type="topRight" dataOnly="0" labelOnly="1" outline="0" fieldPosition="0"/>
    </format>
    <format dxfId="13">
      <pivotArea field="1" type="button" dataOnly="0" labelOnly="1" outline="0" axis="axisRow" fieldPosition="0"/>
    </format>
    <format dxfId="12">
      <pivotArea dataOnly="0" labelOnly="1" fieldPosition="0">
        <references count="1">
          <reference field="1" count="0"/>
        </references>
      </pivotArea>
    </format>
    <format dxfId="11">
      <pivotArea dataOnly="0" labelOnly="1" grandRow="1" outline="0" fieldPosition="0"/>
    </format>
    <format dxfId="10">
      <pivotArea dataOnly="0" labelOnly="1" fieldPosition="0">
        <references count="1">
          <reference field="0" count="0"/>
        </references>
      </pivotArea>
    </format>
    <format dxfId="9">
      <pivotArea outline="0" collapsedLevelsAreSubtotals="1" fieldPosition="0"/>
    </format>
    <format dxfId="8">
      <pivotArea field="1" type="button" dataOnly="0" labelOnly="1" outline="0" axis="axisRow" fieldPosition="0"/>
    </format>
    <format dxfId="7">
      <pivotArea dataOnly="0" labelOnly="1" fieldPosition="0">
        <references count="1">
          <reference field="1" count="0"/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0" count="0"/>
        </references>
      </pivotArea>
    </format>
    <format dxfId="4">
      <pivotArea outline="0" collapsedLevelsAreSubtotals="1" fieldPosition="0"/>
    </format>
    <format dxfId="3">
      <pivotArea field="1" type="button" dataOnly="0" labelOnly="1" outline="0" axis="axisRow" fieldPosition="0"/>
    </format>
    <format dxfId="2">
      <pivotArea dataOnly="0" labelOnly="1" fieldPosition="0">
        <references count="1">
          <reference field="1" count="0"/>
        </references>
      </pivotArea>
    </format>
    <format dxfId="1">
      <pivotArea dataOnly="0" labelOnly="1" grandRow="1" outline="0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PivotStyleLight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B169C1-1E04-4713-9777-1976763E0D1A}" name="PivotTable3" cacheId="34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fieldListSortAscending="1">
  <location ref="A62:B75" firstHeaderRow="1" firstDataRow="1" firstDataCol="1"/>
  <pivotFields count="2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n="Not stated" x="11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Count" fld="1" baseField="0" baseItem="0" numFmtId="3"/>
  </dataField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8BB626-EFD1-4B5A-AC0F-1AE6F1614667}" name="Table1" displayName="Table1" ref="A1:A2" totalsRowShown="0">
  <autoFilter ref="A1:A2" xr:uid="{0DDBE912-F27E-4B8C-BFE4-1753FBAA08BA}"/>
  <tableColumns count="1">
    <tableColumn id="1" xr3:uid="{31CEB9AE-6101-4D17-9556-0F9838EC175D}" name="Crash_ye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426075-7FAB-4586-913E-7D20190DCE69}" name="Table2" displayName="Table2" ref="A4:A5" totalsRowShown="0">
  <autoFilter ref="A4:A5" xr:uid="{A3C98580-BBC9-4E2A-A7E3-4C60BF93DF84}"/>
  <tableColumns count="1">
    <tableColumn id="1" xr3:uid="{9BAA0DB5-BB9D-4D91-B2F4-39C3A8E9B3E2}" name="Start_yea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B9D71B-5A3C-4321-A5CF-D13F0A2DB90D}" name="Table3" displayName="Table3" ref="B4:B5" totalsRowShown="0">
  <autoFilter ref="B4:B5" xr:uid="{3BE656F5-9D28-436A-8077-813ED1F3785A}"/>
  <tableColumns count="1">
    <tableColumn id="1" xr3:uid="{4FA9CD92-182D-47B3-9944-653DC8B0E4CB}" name="End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0.xml"/><Relationship Id="rId7" Type="http://schemas.openxmlformats.org/officeDocument/2006/relationships/table" Target="../tables/table3.xml"/><Relationship Id="rId2" Type="http://schemas.openxmlformats.org/officeDocument/2006/relationships/pivotTable" Target="../pivotTables/pivotTable9.xml"/><Relationship Id="rId1" Type="http://schemas.openxmlformats.org/officeDocument/2006/relationships/pivotTable" Target="../pivotTables/pivotTable8.xm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4B0B-256A-4560-82FE-6584CDB75603}">
  <sheetPr>
    <pageSetUpPr fitToPage="1"/>
  </sheetPr>
  <dimension ref="A1:G23"/>
  <sheetViews>
    <sheetView tabSelected="1" workbookViewId="0">
      <selection activeCell="A2" sqref="A2"/>
    </sheetView>
  </sheetViews>
  <sheetFormatPr defaultRowHeight="14.5" x14ac:dyDescent="0.35"/>
  <cols>
    <col min="1" max="1" width="35.26953125" bestFit="1" customWidth="1"/>
    <col min="2" max="2" width="29.453125" bestFit="1" customWidth="1"/>
    <col min="3" max="3" width="9.54296875" customWidth="1"/>
    <col min="4" max="4" width="11.7265625" bestFit="1" customWidth="1"/>
    <col min="5" max="5" width="30.7265625" bestFit="1" customWidth="1"/>
    <col min="6" max="6" width="9.7265625" bestFit="1" customWidth="1"/>
    <col min="7" max="7" width="11.7265625" bestFit="1" customWidth="1"/>
    <col min="8" max="12" width="4.1796875" bestFit="1" customWidth="1"/>
    <col min="13" max="19" width="5.54296875" bestFit="1" customWidth="1"/>
    <col min="20" max="21" width="7" bestFit="1" customWidth="1"/>
    <col min="22" max="22" width="14.1796875" bestFit="1" customWidth="1"/>
    <col min="23" max="23" width="10.453125" bestFit="1" customWidth="1"/>
    <col min="24" max="28" width="4.1796875" bestFit="1" customWidth="1"/>
    <col min="29" max="38" width="5.54296875" bestFit="1" customWidth="1"/>
    <col min="39" max="44" width="7" bestFit="1" customWidth="1"/>
    <col min="45" max="48" width="8.453125" bestFit="1" customWidth="1"/>
    <col min="49" max="50" width="9.81640625" bestFit="1" customWidth="1"/>
    <col min="51" max="51" width="15.26953125" bestFit="1" customWidth="1"/>
    <col min="52" max="52" width="9.81640625" bestFit="1" customWidth="1"/>
    <col min="53" max="53" width="11" bestFit="1" customWidth="1"/>
    <col min="54" max="54" width="6.26953125" bestFit="1" customWidth="1"/>
    <col min="55" max="55" width="11" bestFit="1" customWidth="1"/>
    <col min="56" max="56" width="6.26953125" bestFit="1" customWidth="1"/>
    <col min="57" max="57" width="11" bestFit="1" customWidth="1"/>
    <col min="58" max="58" width="9.7265625" bestFit="1" customWidth="1"/>
    <col min="59" max="59" width="12.453125" bestFit="1" customWidth="1"/>
    <col min="60" max="60" width="9.7265625" bestFit="1" customWidth="1"/>
    <col min="61" max="61" width="12.453125" bestFit="1" customWidth="1"/>
    <col min="62" max="62" width="9.7265625" bestFit="1" customWidth="1"/>
    <col min="63" max="63" width="12.453125" bestFit="1" customWidth="1"/>
    <col min="64" max="64" width="7.7265625" bestFit="1" customWidth="1"/>
    <col min="65" max="65" width="12.453125" bestFit="1" customWidth="1"/>
    <col min="66" max="66" width="7.7265625" bestFit="1" customWidth="1"/>
    <col min="67" max="67" width="12.453125" bestFit="1" customWidth="1"/>
    <col min="68" max="68" width="7.7265625" bestFit="1" customWidth="1"/>
    <col min="69" max="69" width="12.453125" bestFit="1" customWidth="1"/>
    <col min="70" max="70" width="7.7265625" bestFit="1" customWidth="1"/>
    <col min="71" max="71" width="12.453125" bestFit="1" customWidth="1"/>
    <col min="72" max="72" width="9.7265625" bestFit="1" customWidth="1"/>
    <col min="73" max="73" width="12.453125" bestFit="1" customWidth="1"/>
    <col min="74" max="74" width="9.7265625" bestFit="1" customWidth="1"/>
    <col min="75" max="75" width="12.453125" bestFit="1" customWidth="1"/>
    <col min="76" max="76" width="9.7265625" bestFit="1" customWidth="1"/>
    <col min="77" max="77" width="12.453125" bestFit="1" customWidth="1"/>
    <col min="79" max="79" width="14" bestFit="1" customWidth="1"/>
    <col min="81" max="81" width="14" bestFit="1" customWidth="1"/>
    <col min="82" max="82" width="9.7265625" bestFit="1" customWidth="1"/>
    <col min="83" max="83" width="14" bestFit="1" customWidth="1"/>
    <col min="84" max="84" width="9.7265625" bestFit="1" customWidth="1"/>
    <col min="85" max="85" width="14" bestFit="1" customWidth="1"/>
    <col min="86" max="86" width="9.7265625" bestFit="1" customWidth="1"/>
    <col min="87" max="87" width="14" bestFit="1" customWidth="1"/>
    <col min="89" max="89" width="14" bestFit="1" customWidth="1"/>
    <col min="90" max="90" width="10.54296875" bestFit="1" customWidth="1"/>
    <col min="91" max="91" width="15.453125" bestFit="1" customWidth="1"/>
    <col min="92" max="92" width="10.54296875" bestFit="1" customWidth="1"/>
    <col min="93" max="93" width="15.453125" bestFit="1" customWidth="1"/>
    <col min="94" max="94" width="10.54296875" bestFit="1" customWidth="1"/>
    <col min="95" max="95" width="15.453125" bestFit="1" customWidth="1"/>
    <col min="96" max="96" width="10.54296875" bestFit="1" customWidth="1"/>
    <col min="97" max="97" width="15.453125" bestFit="1" customWidth="1"/>
    <col min="98" max="98" width="12" bestFit="1" customWidth="1"/>
    <col min="99" max="99" width="16.81640625" bestFit="1" customWidth="1"/>
    <col min="100" max="100" width="12" bestFit="1" customWidth="1"/>
    <col min="101" max="101" width="16.81640625" bestFit="1" customWidth="1"/>
    <col min="102" max="102" width="15.26953125" bestFit="1" customWidth="1"/>
  </cols>
  <sheetData>
    <row r="1" spans="1:7" ht="17.5" x14ac:dyDescent="0.35">
      <c r="A1" s="1" t="str">
        <f>Parameters!$A$8</f>
        <v>TABLE 3A DRIVERS IN FATAL AND INJURY CRASHES AND DRIVERS WHO WERE AT FAULT BY TYPE OF VEHICLE - 2021</v>
      </c>
    </row>
    <row r="3" spans="1:7" ht="15.5" x14ac:dyDescent="0.35">
      <c r="A3" s="55"/>
      <c r="B3" s="56" t="s">
        <v>15</v>
      </c>
      <c r="C3" s="55"/>
      <c r="D3" s="55"/>
      <c r="E3" s="55"/>
      <c r="F3" s="55"/>
      <c r="G3" s="55"/>
    </row>
    <row r="4" spans="1:7" ht="15.5" x14ac:dyDescent="0.35">
      <c r="A4" s="55"/>
      <c r="B4" s="62" t="s">
        <v>182</v>
      </c>
      <c r="C4" s="62"/>
      <c r="D4" s="62"/>
      <c r="E4" s="62" t="s">
        <v>183</v>
      </c>
      <c r="F4" s="62"/>
      <c r="G4" s="62"/>
    </row>
    <row r="5" spans="1:7" ht="37.5" customHeight="1" x14ac:dyDescent="0.35">
      <c r="A5" s="61" t="s">
        <v>184</v>
      </c>
      <c r="B5" s="59" t="s">
        <v>16</v>
      </c>
      <c r="C5" s="64" t="s">
        <v>17</v>
      </c>
      <c r="D5" s="64" t="s">
        <v>181</v>
      </c>
      <c r="E5" s="59" t="s">
        <v>16</v>
      </c>
      <c r="F5" s="64" t="s">
        <v>17</v>
      </c>
      <c r="G5" s="64" t="s">
        <v>181</v>
      </c>
    </row>
    <row r="6" spans="1:7" ht="15.5" x14ac:dyDescent="0.35">
      <c r="A6" s="57" t="s">
        <v>6</v>
      </c>
      <c r="B6" s="58">
        <v>4068</v>
      </c>
      <c r="C6" s="58">
        <v>2036</v>
      </c>
      <c r="D6" s="68">
        <v>0.50049164208456243</v>
      </c>
      <c r="E6" s="58">
        <v>220553</v>
      </c>
      <c r="F6" s="58">
        <v>105676</v>
      </c>
      <c r="G6" s="68">
        <v>0.47914106813328317</v>
      </c>
    </row>
    <row r="7" spans="1:7" ht="15.5" x14ac:dyDescent="0.35">
      <c r="A7" s="57" t="s">
        <v>7</v>
      </c>
      <c r="B7" s="58">
        <v>13</v>
      </c>
      <c r="C7" s="58">
        <v>7</v>
      </c>
      <c r="D7" s="68">
        <v>0.53846153846153844</v>
      </c>
      <c r="E7" s="58">
        <v>419</v>
      </c>
      <c r="F7" s="58">
        <v>220</v>
      </c>
      <c r="G7" s="68">
        <v>0.52505966587112174</v>
      </c>
    </row>
    <row r="8" spans="1:7" ht="15.5" x14ac:dyDescent="0.35">
      <c r="A8" s="57" t="s">
        <v>3</v>
      </c>
      <c r="B8" s="58">
        <v>634</v>
      </c>
      <c r="C8" s="58">
        <v>438</v>
      </c>
      <c r="D8" s="68">
        <v>0.69085173501577291</v>
      </c>
      <c r="E8" s="58">
        <v>11190</v>
      </c>
      <c r="F8" s="58">
        <v>6425</v>
      </c>
      <c r="G8" s="68">
        <v>0.57417336907953531</v>
      </c>
    </row>
    <row r="9" spans="1:7" ht="15.5" x14ac:dyDescent="0.35">
      <c r="A9" s="57" t="s">
        <v>2</v>
      </c>
      <c r="B9" s="58">
        <v>4</v>
      </c>
      <c r="C9" s="58">
        <v>4</v>
      </c>
      <c r="D9" s="68">
        <v>1</v>
      </c>
      <c r="E9" s="58">
        <v>79</v>
      </c>
      <c r="F9" s="58">
        <v>48</v>
      </c>
      <c r="G9" s="68">
        <v>0.60759493670886078</v>
      </c>
    </row>
    <row r="10" spans="1:7" ht="15.5" x14ac:dyDescent="0.35">
      <c r="A10" s="57" t="s">
        <v>8</v>
      </c>
      <c r="B10" s="58">
        <v>884</v>
      </c>
      <c r="C10" s="58">
        <v>434</v>
      </c>
      <c r="D10" s="68">
        <v>0.49095022624434387</v>
      </c>
      <c r="E10" s="58">
        <v>30361</v>
      </c>
      <c r="F10" s="58">
        <v>15040</v>
      </c>
      <c r="G10" s="68">
        <v>0.49537235268930535</v>
      </c>
    </row>
    <row r="11" spans="1:7" ht="15.5" x14ac:dyDescent="0.35">
      <c r="A11" s="57" t="s">
        <v>9</v>
      </c>
      <c r="B11" s="58">
        <v>34</v>
      </c>
      <c r="C11" s="58">
        <v>12</v>
      </c>
      <c r="D11" s="68">
        <v>0.35294117647058826</v>
      </c>
      <c r="E11" s="58">
        <v>1150</v>
      </c>
      <c r="F11" s="58">
        <v>529</v>
      </c>
      <c r="G11" s="68">
        <v>0.46</v>
      </c>
    </row>
    <row r="12" spans="1:7" ht="15.5" x14ac:dyDescent="0.35">
      <c r="A12" s="57" t="s">
        <v>11</v>
      </c>
      <c r="B12" s="58">
        <v>121</v>
      </c>
      <c r="C12" s="58">
        <v>38</v>
      </c>
      <c r="D12" s="68">
        <v>0.31404958677685951</v>
      </c>
      <c r="E12" s="58">
        <v>3477</v>
      </c>
      <c r="F12" s="58">
        <v>1624</v>
      </c>
      <c r="G12" s="68">
        <v>0.46706931262582685</v>
      </c>
    </row>
    <row r="13" spans="1:7" ht="15.5" x14ac:dyDescent="0.35">
      <c r="A13" s="57" t="s">
        <v>12</v>
      </c>
      <c r="B13" s="58">
        <v>257</v>
      </c>
      <c r="C13" s="58">
        <v>51</v>
      </c>
      <c r="D13" s="68">
        <v>0.19844357976653695</v>
      </c>
      <c r="E13" s="58">
        <v>3935</v>
      </c>
      <c r="F13" s="58">
        <v>1375</v>
      </c>
      <c r="G13" s="68">
        <v>0.34942820838627703</v>
      </c>
    </row>
    <row r="14" spans="1:7" ht="15.5" x14ac:dyDescent="0.35">
      <c r="A14" s="57" t="s">
        <v>10</v>
      </c>
      <c r="B14" s="58">
        <v>3</v>
      </c>
      <c r="C14" s="58">
        <v>0</v>
      </c>
      <c r="D14" s="68">
        <v>0</v>
      </c>
      <c r="E14" s="58">
        <v>131</v>
      </c>
      <c r="F14" s="58">
        <v>30</v>
      </c>
      <c r="G14" s="68">
        <v>0.22900763358778625</v>
      </c>
    </row>
    <row r="15" spans="1:7" ht="15.5" x14ac:dyDescent="0.35">
      <c r="A15" s="57" t="s">
        <v>5</v>
      </c>
      <c r="B15" s="58">
        <v>21</v>
      </c>
      <c r="C15" s="58">
        <v>4</v>
      </c>
      <c r="D15" s="68">
        <v>0.19047619047619047</v>
      </c>
      <c r="E15" s="58">
        <v>1145</v>
      </c>
      <c r="F15" s="58">
        <v>386</v>
      </c>
      <c r="G15" s="68">
        <v>0.33711790393013102</v>
      </c>
    </row>
    <row r="16" spans="1:7" ht="15.5" x14ac:dyDescent="0.35">
      <c r="A16" s="57" t="s">
        <v>0</v>
      </c>
      <c r="B16" s="58">
        <v>8</v>
      </c>
      <c r="C16" s="58">
        <v>2</v>
      </c>
      <c r="D16" s="68">
        <v>0.25</v>
      </c>
      <c r="E16" s="58">
        <v>1133</v>
      </c>
      <c r="F16" s="58">
        <v>463</v>
      </c>
      <c r="G16" s="68">
        <v>0.40864960282436008</v>
      </c>
    </row>
    <row r="17" spans="1:7" ht="15.5" x14ac:dyDescent="0.35">
      <c r="A17" s="57" t="s">
        <v>1</v>
      </c>
      <c r="B17" s="58">
        <v>2</v>
      </c>
      <c r="C17" s="58">
        <v>0</v>
      </c>
      <c r="D17" s="68">
        <v>0</v>
      </c>
      <c r="E17" s="58">
        <v>35</v>
      </c>
      <c r="F17" s="58">
        <v>9</v>
      </c>
      <c r="G17" s="68">
        <v>0.25714285714285712</v>
      </c>
    </row>
    <row r="18" spans="1:7" ht="15.5" x14ac:dyDescent="0.35">
      <c r="A18" s="57" t="s">
        <v>4</v>
      </c>
      <c r="B18" s="58">
        <v>35</v>
      </c>
      <c r="C18" s="58">
        <v>23</v>
      </c>
      <c r="D18" s="68">
        <v>0.65714285714285714</v>
      </c>
      <c r="E18" s="58">
        <v>635</v>
      </c>
      <c r="F18" s="58">
        <v>345</v>
      </c>
      <c r="G18" s="68">
        <v>0.54330708661417326</v>
      </c>
    </row>
    <row r="19" spans="1:7" ht="15.5" x14ac:dyDescent="0.35">
      <c r="A19" s="57" t="s">
        <v>18</v>
      </c>
      <c r="B19" s="58">
        <v>283</v>
      </c>
      <c r="C19" s="58">
        <v>84</v>
      </c>
      <c r="D19" s="68">
        <v>0.29681978798586572</v>
      </c>
      <c r="E19" s="58">
        <v>14775</v>
      </c>
      <c r="F19" s="58">
        <v>9193</v>
      </c>
      <c r="G19" s="68">
        <v>0.62219966159052453</v>
      </c>
    </row>
    <row r="20" spans="1:7" ht="15.5" x14ac:dyDescent="0.35">
      <c r="A20" s="60" t="s">
        <v>16</v>
      </c>
      <c r="B20" s="58">
        <v>6367</v>
      </c>
      <c r="C20" s="58">
        <v>3133</v>
      </c>
      <c r="D20" s="68">
        <v>0.49206847809015236</v>
      </c>
      <c r="E20" s="58">
        <v>289018</v>
      </c>
      <c r="F20" s="58">
        <v>141363</v>
      </c>
      <c r="G20" s="68">
        <v>0.48911486481810823</v>
      </c>
    </row>
    <row r="21" spans="1:7" ht="5.25" customHeight="1" x14ac:dyDescent="0.35"/>
    <row r="22" spans="1:7" x14ac:dyDescent="0.35">
      <c r="A22" s="3" t="s">
        <v>178</v>
      </c>
    </row>
    <row r="23" spans="1:7" x14ac:dyDescent="0.35">
      <c r="A23" s="2" t="s">
        <v>179</v>
      </c>
    </row>
  </sheetData>
  <pageMargins left="0.55000000000000004" right="0.55000000000000004" top="0.55000000000000004" bottom="0.55000000000000004" header="0.3" footer="0.3"/>
  <pageSetup scale="63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23AE-34C7-4703-BB0E-640E0144CBD3}">
  <sheetPr>
    <pageSetUpPr fitToPage="1"/>
  </sheetPr>
  <dimension ref="A1:M32"/>
  <sheetViews>
    <sheetView workbookViewId="0">
      <selection activeCell="A2" sqref="A2"/>
    </sheetView>
  </sheetViews>
  <sheetFormatPr defaultColWidth="8.7265625" defaultRowHeight="16" x14ac:dyDescent="0.45"/>
  <cols>
    <col min="1" max="1" width="13.54296875" style="6" customWidth="1"/>
    <col min="2" max="4" width="14.26953125" style="6" bestFit="1" customWidth="1"/>
    <col min="5" max="5" width="14.453125" style="6" bestFit="1" customWidth="1"/>
    <col min="6" max="12" width="12.7265625" style="6" customWidth="1"/>
    <col min="13" max="16384" width="8.7265625" style="6"/>
  </cols>
  <sheetData>
    <row r="1" spans="1:13" ht="20.5" x14ac:dyDescent="0.45">
      <c r="A1" s="4" t="str">
        <f>Parameters!$A$11</f>
        <v>TABLE 3B DRIVERS IN FATAL AND INJURY CRASHES BY AGE COMPARED TO LICENSED DRIVERS IN CALIFORNIA - 2021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ht="15" customHeight="1" x14ac:dyDescent="0.45"/>
    <row r="3" spans="1:13" ht="16.5" x14ac:dyDescent="0.45">
      <c r="A3" s="7" t="s">
        <v>185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5" customHeight="1" x14ac:dyDescent="0.45">
      <c r="A4" s="7"/>
      <c r="B4" s="7"/>
      <c r="C4" s="7"/>
      <c r="D4" s="7"/>
      <c r="E4" s="7"/>
      <c r="F4" s="7"/>
      <c r="G4" s="7"/>
      <c r="H4" s="9"/>
      <c r="I4" s="9"/>
      <c r="J4" s="7"/>
      <c r="K4" s="7"/>
      <c r="L4" s="7"/>
      <c r="M4" s="8"/>
    </row>
    <row r="5" spans="1:13" ht="15" customHeight="1" x14ac:dyDescent="0.45">
      <c r="A5" s="10"/>
      <c r="B5" s="10"/>
      <c r="C5" s="10"/>
      <c r="D5" s="10"/>
      <c r="E5" s="10"/>
      <c r="F5" s="10"/>
      <c r="G5" s="11"/>
      <c r="H5" s="12" t="s">
        <v>187</v>
      </c>
      <c r="I5" s="13"/>
      <c r="J5" s="14"/>
      <c r="K5" s="10"/>
      <c r="L5" s="10"/>
      <c r="M5" s="8"/>
    </row>
    <row r="6" spans="1:13" ht="17.5" x14ac:dyDescent="0.45">
      <c r="A6" s="10"/>
      <c r="B6" s="7" t="s">
        <v>186</v>
      </c>
      <c r="C6" s="15"/>
      <c r="D6" s="15"/>
      <c r="E6" s="15"/>
      <c r="F6" s="10"/>
      <c r="G6" s="11"/>
      <c r="H6" s="16" t="s">
        <v>186</v>
      </c>
      <c r="I6" s="17"/>
      <c r="J6" s="18" t="s">
        <v>188</v>
      </c>
      <c r="K6" s="19"/>
      <c r="L6" s="19"/>
      <c r="M6" s="8"/>
    </row>
    <row r="7" spans="1:13" ht="15" customHeight="1" x14ac:dyDescent="0.45">
      <c r="A7" s="10"/>
      <c r="B7" s="10"/>
      <c r="C7" s="10"/>
      <c r="D7" s="10"/>
      <c r="E7" s="10"/>
      <c r="F7" s="10"/>
      <c r="G7" s="10"/>
      <c r="H7" s="20"/>
      <c r="I7" s="21"/>
      <c r="J7" s="50" t="s">
        <v>19</v>
      </c>
      <c r="K7" s="50" t="s">
        <v>20</v>
      </c>
      <c r="L7" s="51" t="s">
        <v>21</v>
      </c>
      <c r="M7" s="8"/>
    </row>
    <row r="8" spans="1:13" ht="16.5" x14ac:dyDescent="0.45">
      <c r="A8" s="22" t="s">
        <v>189</v>
      </c>
      <c r="B8" s="26" t="s">
        <v>16</v>
      </c>
      <c r="C8" s="26" t="s">
        <v>23</v>
      </c>
      <c r="D8" s="26" t="s">
        <v>24</v>
      </c>
      <c r="E8" s="26" t="s">
        <v>25</v>
      </c>
      <c r="F8" s="26" t="s">
        <v>20</v>
      </c>
      <c r="G8" s="26" t="s">
        <v>21</v>
      </c>
      <c r="H8" s="26" t="s">
        <v>20</v>
      </c>
      <c r="I8" s="47" t="s">
        <v>21</v>
      </c>
      <c r="J8" s="48" t="s">
        <v>26</v>
      </c>
      <c r="K8" s="48" t="s">
        <v>27</v>
      </c>
      <c r="L8" s="49" t="s">
        <v>27</v>
      </c>
      <c r="M8" s="8"/>
    </row>
    <row r="9" spans="1:13" ht="16" customHeight="1" x14ac:dyDescent="0.45">
      <c r="A9" s="23" t="s">
        <v>28</v>
      </c>
      <c r="B9" s="24">
        <v>0</v>
      </c>
      <c r="C9" s="24">
        <v>0</v>
      </c>
      <c r="D9" s="24">
        <v>0</v>
      </c>
      <c r="E9" s="24">
        <v>0</v>
      </c>
      <c r="F9" s="25">
        <f>GETPIVOTDATA("Count",Parameters!$A$14,"Severity_Group_1","Fatal","Age_Group_8","0-14")</f>
        <v>11</v>
      </c>
      <c r="G9" s="25">
        <f>GETPIVOTDATA("Count",Parameters!$A$14,"Severity_Group_1","Injury","Age_Group_8","0-14")</f>
        <v>365</v>
      </c>
      <c r="H9" s="26">
        <v>0</v>
      </c>
      <c r="I9" s="26">
        <v>0</v>
      </c>
      <c r="J9" s="27">
        <v>0</v>
      </c>
      <c r="K9" s="28">
        <f>F9/F27*100</f>
        <v>0.17276582377885974</v>
      </c>
      <c r="L9" s="29">
        <f>G9/G27*100</f>
        <v>0.12628971205945649</v>
      </c>
      <c r="M9" s="8"/>
    </row>
    <row r="10" spans="1:13" ht="16" customHeight="1" x14ac:dyDescent="0.45">
      <c r="A10" s="23" t="s">
        <v>29</v>
      </c>
      <c r="B10" s="25">
        <f>'Table 3B-DMV-Licensed Drivers'!H7</f>
        <v>792682</v>
      </c>
      <c r="C10" s="25">
        <f>'Table 3B-DMV-Licensed Drivers'!I7</f>
        <v>410964</v>
      </c>
      <c r="D10" s="25">
        <f>'Table 3B-DMV-Licensed Drivers'!J7</f>
        <v>380984</v>
      </c>
      <c r="E10" s="25">
        <f>'Table 3B-DMV-Licensed Drivers'!K7</f>
        <v>734</v>
      </c>
      <c r="F10" s="25">
        <f>GETPIVOTDATA("Count",Parameters!$A$14,"Severity_Group_1","Fatal","Age_Group_8","15-19")</f>
        <v>345</v>
      </c>
      <c r="G10" s="25">
        <f>GETPIVOTDATA("Count",Parameters!$A$14,"Severity_Group_1","Injury","Age_Group_8","15-19")</f>
        <v>17684</v>
      </c>
      <c r="H10" s="26">
        <f>F10/B10*10000</f>
        <v>4.352312781165713</v>
      </c>
      <c r="I10" s="26">
        <f>G10/B10*10000</f>
        <v>223.09072238299848</v>
      </c>
      <c r="J10" s="30">
        <f>B10/B27*100</f>
        <v>2.8864571180603793</v>
      </c>
      <c r="K10" s="28">
        <f>F10/F27*100</f>
        <v>5.4185644730642375</v>
      </c>
      <c r="L10" s="28">
        <f>G10/G27*100</f>
        <v>6.1186500494778873</v>
      </c>
      <c r="M10" s="8"/>
    </row>
    <row r="11" spans="1:13" ht="16" customHeight="1" x14ac:dyDescent="0.45">
      <c r="A11" s="23" t="s">
        <v>30</v>
      </c>
      <c r="B11" s="25">
        <f>'Table 3B-DMV-Licensed Drivers'!H8</f>
        <v>2119980</v>
      </c>
      <c r="C11" s="25">
        <f>'Table 3B-DMV-Licensed Drivers'!I8</f>
        <v>1104174</v>
      </c>
      <c r="D11" s="25">
        <f>'Table 3B-DMV-Licensed Drivers'!J8</f>
        <v>1013827</v>
      </c>
      <c r="E11" s="25">
        <f>'Table 3B-DMV-Licensed Drivers'!K8</f>
        <v>1979</v>
      </c>
      <c r="F11" s="25">
        <f>GETPIVOTDATA("Count",Parameters!$A$14,"Severity_Group_1","Fatal","Age_Group_8","20-24")</f>
        <v>805</v>
      </c>
      <c r="G11" s="25">
        <f>GETPIVOTDATA("Count",Parameters!$A$14,"Severity_Group_1","Injury","Age_Group_8","20-24")</f>
        <v>37885</v>
      </c>
      <c r="H11" s="26">
        <f t="shared" ref="H11:H27" si="0">F11/B11*10000</f>
        <v>3.7972056340154152</v>
      </c>
      <c r="I11" s="26">
        <f t="shared" ref="I11:I27" si="1">G11/B11*10000</f>
        <v>178.7045160803404</v>
      </c>
      <c r="J11" s="30">
        <f>B11/B27*100</f>
        <v>7.7196547431954334</v>
      </c>
      <c r="K11" s="28">
        <f>F11/F27*100</f>
        <v>12.643317103816553</v>
      </c>
      <c r="L11" s="28">
        <f>G11/G27*100</f>
        <v>13.108180113349341</v>
      </c>
      <c r="M11" s="8"/>
    </row>
    <row r="12" spans="1:13" ht="16" customHeight="1" x14ac:dyDescent="0.45">
      <c r="A12" s="23" t="s">
        <v>31</v>
      </c>
      <c r="B12" s="25">
        <f>'Table 3B-DMV-Licensed Drivers'!H9</f>
        <v>2594726</v>
      </c>
      <c r="C12" s="25">
        <f>'Table 3B-DMV-Licensed Drivers'!I9</f>
        <v>1332692</v>
      </c>
      <c r="D12" s="25">
        <f>'Table 3B-DMV-Licensed Drivers'!J9</f>
        <v>1259762</v>
      </c>
      <c r="E12" s="25">
        <f>'Table 3B-DMV-Licensed Drivers'!K9</f>
        <v>2272</v>
      </c>
      <c r="F12" s="25">
        <f>GETPIVOTDATA("Count",Parameters!$A$14,"Severity_Group_1","Fatal","Age_Group_8","25-29")</f>
        <v>793</v>
      </c>
      <c r="G12" s="25">
        <f>GETPIVOTDATA("Count",Parameters!$A$14,"Severity_Group_1","Injury","Age_Group_8","25-29")</f>
        <v>36891</v>
      </c>
      <c r="H12" s="26">
        <f t="shared" si="0"/>
        <v>3.0561993829020868</v>
      </c>
      <c r="I12" s="26">
        <f t="shared" si="1"/>
        <v>142.17686183435168</v>
      </c>
      <c r="J12" s="30">
        <f>B12/B27*100</f>
        <v>9.4483857740132038</v>
      </c>
      <c r="K12" s="28">
        <f>F12/F27*100</f>
        <v>12.454845296057798</v>
      </c>
      <c r="L12" s="28">
        <f>G12/G27*100</f>
        <v>12.764256897494274</v>
      </c>
      <c r="M12" s="8"/>
    </row>
    <row r="13" spans="1:13" ht="16" customHeight="1" x14ac:dyDescent="0.45">
      <c r="A13" s="23" t="s">
        <v>32</v>
      </c>
      <c r="B13" s="25">
        <f>'Table 3B-DMV-Licensed Drivers'!H10</f>
        <v>2794256</v>
      </c>
      <c r="C13" s="25">
        <f>'Table 3B-DMV-Licensed Drivers'!I10</f>
        <v>1428084</v>
      </c>
      <c r="D13" s="25">
        <f>'Table 3B-DMV-Licensed Drivers'!J10</f>
        <v>1364572</v>
      </c>
      <c r="E13" s="25">
        <f>'Table 3B-DMV-Licensed Drivers'!K10</f>
        <v>1600</v>
      </c>
      <c r="F13" s="25">
        <f>GETPIVOTDATA("Count",Parameters!$A$14,"Severity_Group_1","Fatal","Age_Group_8","30-34")</f>
        <v>697</v>
      </c>
      <c r="G13" s="25">
        <f>GETPIVOTDATA("Count",Parameters!$A$14,"Severity_Group_1","Injury","Age_Group_8","30-34")</f>
        <v>32446</v>
      </c>
      <c r="H13" s="26">
        <f t="shared" si="0"/>
        <v>2.4944028034653947</v>
      </c>
      <c r="I13" s="26">
        <f>G13/B13*10000</f>
        <v>116.11677670191995</v>
      </c>
      <c r="J13" s="30">
        <f>B13/B27*100</f>
        <v>10.17495051090213</v>
      </c>
      <c r="K13" s="28">
        <f>F13/F27*100</f>
        <v>10.947070833987748</v>
      </c>
      <c r="L13" s="28">
        <f>G13/G27*100</f>
        <v>11.226290404057879</v>
      </c>
      <c r="M13" s="8"/>
    </row>
    <row r="14" spans="1:13" ht="16" customHeight="1" x14ac:dyDescent="0.45">
      <c r="A14" s="23" t="s">
        <v>33</v>
      </c>
      <c r="B14" s="25">
        <f>'Table 3B-DMV-Licensed Drivers'!H11</f>
        <v>2667620</v>
      </c>
      <c r="C14" s="25">
        <f>'Table 3B-DMV-Licensed Drivers'!I11</f>
        <v>1360748</v>
      </c>
      <c r="D14" s="25">
        <f>'Table 3B-DMV-Licensed Drivers'!J11</f>
        <v>1305939</v>
      </c>
      <c r="E14" s="25">
        <f>'Table 3B-DMV-Licensed Drivers'!K11</f>
        <v>933</v>
      </c>
      <c r="F14" s="25">
        <f>GETPIVOTDATA("Count",Parameters!$A$14,"Severity_Group_1","Fatal","Age_Group_8","35-39")</f>
        <v>610</v>
      </c>
      <c r="G14" s="25">
        <f>GETPIVOTDATA("Count",Parameters!$A$14,"Severity_Group_1","Injury","Age_Group_8","35-39")</f>
        <v>26856</v>
      </c>
      <c r="H14" s="26">
        <f t="shared" si="0"/>
        <v>2.2866825110023168</v>
      </c>
      <c r="I14" s="26">
        <f t="shared" si="1"/>
        <v>100.67400904176756</v>
      </c>
      <c r="J14" s="30">
        <f>B14/B27*100</f>
        <v>9.7138205954975998</v>
      </c>
      <c r="K14" s="28">
        <f>F14/F27*100</f>
        <v>9.5806502277367667</v>
      </c>
      <c r="L14" s="28">
        <f>G14/G27*100</f>
        <v>9.2921548138870236</v>
      </c>
      <c r="M14" s="8"/>
    </row>
    <row r="15" spans="1:13" ht="16" customHeight="1" x14ac:dyDescent="0.45">
      <c r="A15" s="23" t="s">
        <v>34</v>
      </c>
      <c r="B15" s="25">
        <f>'Table 3B-DMV-Licensed Drivers'!H12</f>
        <v>2468900</v>
      </c>
      <c r="C15" s="25">
        <f>'Table 3B-DMV-Licensed Drivers'!I12</f>
        <v>1250355</v>
      </c>
      <c r="D15" s="25">
        <f>'Table 3B-DMV-Licensed Drivers'!J12</f>
        <v>1218064</v>
      </c>
      <c r="E15" s="25">
        <f>'Table 3B-DMV-Licensed Drivers'!K12</f>
        <v>481</v>
      </c>
      <c r="F15" s="25">
        <f>GETPIVOTDATA("Count",Parameters!$A$14,"Severity_Group_1","Fatal","Age_Group_8","40-44")</f>
        <v>464</v>
      </c>
      <c r="G15" s="25">
        <f>GETPIVOTDATA("Count",Parameters!$A$14,"Severity_Group_1","Injury","Age_Group_8","40-44")</f>
        <v>23226</v>
      </c>
      <c r="H15" s="26">
        <f t="shared" si="0"/>
        <v>1.8793794807404107</v>
      </c>
      <c r="I15" s="26">
        <f t="shared" si="1"/>
        <v>94.074284094131002</v>
      </c>
      <c r="J15" s="30">
        <f>B15/B27*100</f>
        <v>8.9902053771616739</v>
      </c>
      <c r="K15" s="28">
        <f>F15/F27*100</f>
        <v>7.2875765666719019</v>
      </c>
      <c r="L15" s="28">
        <f>G15/G27*100</f>
        <v>8.0361776775148961</v>
      </c>
      <c r="M15" s="8"/>
    </row>
    <row r="16" spans="1:13" ht="16" customHeight="1" x14ac:dyDescent="0.45">
      <c r="A16" s="23" t="s">
        <v>35</v>
      </c>
      <c r="B16" s="25">
        <f>'Table 3B-DMV-Licensed Drivers'!H13</f>
        <v>2271179</v>
      </c>
      <c r="C16" s="25">
        <f>'Table 3B-DMV-Licensed Drivers'!I13</f>
        <v>1144770</v>
      </c>
      <c r="D16" s="25">
        <f>'Table 3B-DMV-Licensed Drivers'!J13</f>
        <v>1126148</v>
      </c>
      <c r="E16" s="25">
        <f>'Table 3B-DMV-Licensed Drivers'!K13</f>
        <v>261</v>
      </c>
      <c r="F16" s="25">
        <f>GETPIVOTDATA("Count",Parameters!$A$14,"Severity_Group_1","Fatal","Age_Group_8","45-49")</f>
        <v>410</v>
      </c>
      <c r="G16" s="25">
        <f>GETPIVOTDATA("Count",Parameters!$A$14,"Severity_Group_1","Injury","Age_Group_8","45-49")</f>
        <v>20075</v>
      </c>
      <c r="H16" s="26">
        <f t="shared" si="0"/>
        <v>1.8052297947453722</v>
      </c>
      <c r="I16" s="26">
        <f t="shared" si="1"/>
        <v>88.390214950032558</v>
      </c>
      <c r="J16" s="30">
        <f>B16/B27*100</f>
        <v>8.2702278983744471</v>
      </c>
      <c r="K16" s="28">
        <f>F16/F27*100</f>
        <v>6.4394534317574994</v>
      </c>
      <c r="L16" s="28">
        <f>G16/G27*100</f>
        <v>6.9459341632701079</v>
      </c>
      <c r="M16" s="8"/>
    </row>
    <row r="17" spans="1:13" ht="16" customHeight="1" x14ac:dyDescent="0.45">
      <c r="A17" s="23" t="s">
        <v>36</v>
      </c>
      <c r="B17" s="25">
        <f>'Table 3B-DMV-Licensed Drivers'!H14</f>
        <v>2346473</v>
      </c>
      <c r="C17" s="25">
        <f>'Table 3B-DMV-Licensed Drivers'!I14</f>
        <v>1191812</v>
      </c>
      <c r="D17" s="25">
        <f>'Table 3B-DMV-Licensed Drivers'!J14</f>
        <v>1154456</v>
      </c>
      <c r="E17" s="25">
        <f>'Table 3B-DMV-Licensed Drivers'!K14</f>
        <v>205</v>
      </c>
      <c r="F17" s="25">
        <f>GETPIVOTDATA("Count",Parameters!$A$14,"Severity_Group_1","Fatal","Age_Group_8","50-54")</f>
        <v>501</v>
      </c>
      <c r="G17" s="25">
        <f>GETPIVOTDATA("Count",Parameters!$A$14,"Severity_Group_1","Injury","Age_Group_8","50-54")</f>
        <v>19590</v>
      </c>
      <c r="H17" s="26">
        <f t="shared" si="0"/>
        <v>2.1351193898246432</v>
      </c>
      <c r="I17" s="26">
        <f t="shared" si="1"/>
        <v>83.487003685957603</v>
      </c>
      <c r="J17" s="30">
        <f>B17/B27*100</f>
        <v>8.544402034089952</v>
      </c>
      <c r="K17" s="28">
        <f>F17/F27*100</f>
        <v>7.8686979739280671</v>
      </c>
      <c r="L17" s="28">
        <f>G17/G27*100</f>
        <v>6.7781245458760351</v>
      </c>
      <c r="M17" s="8"/>
    </row>
    <row r="18" spans="1:13" ht="16" customHeight="1" x14ac:dyDescent="0.45">
      <c r="A18" s="23" t="s">
        <v>37</v>
      </c>
      <c r="B18" s="25">
        <f>'Table 3B-DMV-Licensed Drivers'!H15</f>
        <v>2296909</v>
      </c>
      <c r="C18" s="25">
        <f>'Table 3B-DMV-Licensed Drivers'!I15</f>
        <v>1170620</v>
      </c>
      <c r="D18" s="25">
        <f>'Table 3B-DMV-Licensed Drivers'!J15</f>
        <v>1126139</v>
      </c>
      <c r="E18" s="25">
        <f>'Table 3B-DMV-Licensed Drivers'!K15</f>
        <v>150</v>
      </c>
      <c r="F18" s="25">
        <f>GETPIVOTDATA("Count",Parameters!$A$14,"Severity_Group_1","Fatal","Age_Group_8","55-59")</f>
        <v>433</v>
      </c>
      <c r="G18" s="25">
        <f>GETPIVOTDATA("Count",Parameters!$A$14,"Severity_Group_1","Injury","Age_Group_8","55-59")</f>
        <v>17788</v>
      </c>
      <c r="H18" s="26">
        <f t="shared" si="0"/>
        <v>1.8851421627935629</v>
      </c>
      <c r="I18" s="26">
        <f t="shared" si="1"/>
        <v>77.443207371297689</v>
      </c>
      <c r="J18" s="30">
        <f>B18/B27*100</f>
        <v>8.3639206296938085</v>
      </c>
      <c r="K18" s="28">
        <f>F18/F27*100</f>
        <v>6.8006910632951154</v>
      </c>
      <c r="L18" s="28">
        <f>G18/G27*100</f>
        <v>6.1546339674345543</v>
      </c>
      <c r="M18" s="8"/>
    </row>
    <row r="19" spans="1:13" ht="16" customHeight="1" x14ac:dyDescent="0.45">
      <c r="A19" s="23" t="s">
        <v>38</v>
      </c>
      <c r="B19" s="25">
        <f>'Table 3B-DMV-Licensed Drivers'!H16</f>
        <v>2181863</v>
      </c>
      <c r="C19" s="25">
        <f>'Table 3B-DMV-Licensed Drivers'!I16</f>
        <v>1103710</v>
      </c>
      <c r="D19" s="25">
        <f>'Table 3B-DMV-Licensed Drivers'!J16</f>
        <v>1078040</v>
      </c>
      <c r="E19" s="25">
        <f>'Table 3B-DMV-Licensed Drivers'!K16</f>
        <v>113</v>
      </c>
      <c r="F19" s="25">
        <f>GETPIVOTDATA("Count",Parameters!$A$14,"Severity_Group_1","Fatal","Age_Group_8","60-64")</f>
        <v>377</v>
      </c>
      <c r="G19" s="25">
        <f>GETPIVOTDATA("Count",Parameters!$A$14,"Severity_Group_1","Injury","Age_Group_8","60-64")</f>
        <v>14421</v>
      </c>
      <c r="H19" s="26">
        <f t="shared" si="0"/>
        <v>1.7278811731075692</v>
      </c>
      <c r="I19" s="26">
        <f t="shared" si="1"/>
        <v>66.094892300753983</v>
      </c>
      <c r="J19" s="30">
        <f>B19/B27*100</f>
        <v>7.9449943192636807</v>
      </c>
      <c r="K19" s="28">
        <f>F19/F27*100</f>
        <v>5.9211559604209203</v>
      </c>
      <c r="L19" s="28">
        <f>G19/G27*100</f>
        <v>4.9896546235874588</v>
      </c>
      <c r="M19" s="8"/>
    </row>
    <row r="20" spans="1:13" ht="16" customHeight="1" x14ac:dyDescent="0.45">
      <c r="A20" s="23" t="s">
        <v>39</v>
      </c>
      <c r="B20" s="25">
        <f>'Table 3B-DMV-Licensed Drivers'!H17</f>
        <v>1840482</v>
      </c>
      <c r="C20" s="25">
        <f>'Table 3B-DMV-Licensed Drivers'!I17</f>
        <v>918526</v>
      </c>
      <c r="D20" s="25">
        <f>'Table 3B-DMV-Licensed Drivers'!J17</f>
        <v>921896</v>
      </c>
      <c r="E20" s="25">
        <f>'Table 3B-DMV-Licensed Drivers'!K17</f>
        <v>60</v>
      </c>
      <c r="F20" s="25">
        <f>GETPIVOTDATA("Count",Parameters!$A$14,"Severity_Group_1","Fatal","Age_Group_8","65-69")</f>
        <v>228</v>
      </c>
      <c r="G20" s="25">
        <f>GETPIVOTDATA("Count",Parameters!$A$14,"Severity_Group_1","Injury","Age_Group_8","65-69")</f>
        <v>10161</v>
      </c>
      <c r="H20" s="26">
        <f t="shared" si="0"/>
        <v>1.2388059214923046</v>
      </c>
      <c r="I20" s="26">
        <f t="shared" si="1"/>
        <v>55.208363895979417</v>
      </c>
      <c r="J20" s="30">
        <f>B20/B27*100</f>
        <v>6.7018960561259151</v>
      </c>
      <c r="K20" s="28">
        <f>F20/F27*100</f>
        <v>3.5809643474163657</v>
      </c>
      <c r="L20" s="28">
        <f>G20/G27*100</f>
        <v>3.5156979842085962</v>
      </c>
      <c r="M20" s="8"/>
    </row>
    <row r="21" spans="1:13" ht="16" customHeight="1" x14ac:dyDescent="0.45">
      <c r="A21" s="23" t="s">
        <v>40</v>
      </c>
      <c r="B21" s="25">
        <f>'Table 3B-DMV-Licensed Drivers'!H18</f>
        <v>1391852</v>
      </c>
      <c r="C21" s="25">
        <f>'Table 3B-DMV-Licensed Drivers'!I18</f>
        <v>688241</v>
      </c>
      <c r="D21" s="25">
        <f>'Table 3B-DMV-Licensed Drivers'!J18</f>
        <v>703564</v>
      </c>
      <c r="E21" s="25">
        <f>'Table 3B-DMV-Licensed Drivers'!K18</f>
        <v>47</v>
      </c>
      <c r="F21" s="25">
        <f>GETPIVOTDATA("Count",Parameters!$A$14,"Severity_Group_1","Fatal","Age_Group_8","70-74")</f>
        <v>156</v>
      </c>
      <c r="G21" s="25">
        <f>GETPIVOTDATA("Count",Parameters!$A$14,"Severity_Group_1","Injury","Age_Group_8","70-74")</f>
        <v>6792</v>
      </c>
      <c r="H21" s="26">
        <f t="shared" si="0"/>
        <v>1.1208088216275869</v>
      </c>
      <c r="I21" s="26">
        <f t="shared" si="1"/>
        <v>48.798291772401086</v>
      </c>
      <c r="J21" s="30">
        <f>B21/B27*100</f>
        <v>5.0682633296663413</v>
      </c>
      <c r="K21" s="28">
        <f>F21/F27*100</f>
        <v>2.4501335008638292</v>
      </c>
      <c r="L21" s="28">
        <f>G21/G27*100</f>
        <v>2.3500266419392566</v>
      </c>
      <c r="M21" s="8"/>
    </row>
    <row r="22" spans="1:13" ht="16" customHeight="1" x14ac:dyDescent="0.45">
      <c r="A22" s="23" t="s">
        <v>41</v>
      </c>
      <c r="B22" s="25">
        <f>'Table 3B-DMV-Licensed Drivers'!H19</f>
        <v>878455</v>
      </c>
      <c r="C22" s="25">
        <f>'Table 3B-DMV-Licensed Drivers'!I19</f>
        <v>435586</v>
      </c>
      <c r="D22" s="25">
        <f>'Table 3B-DMV-Licensed Drivers'!J19</f>
        <v>442849</v>
      </c>
      <c r="E22" s="25">
        <f>'Table 3B-DMV-Licensed Drivers'!K19</f>
        <v>20</v>
      </c>
      <c r="F22" s="25">
        <f>GETPIVOTDATA("Count",Parameters!$A$14,"Severity_Group_1","Fatal","Age_Group_8","75-79")</f>
        <v>96</v>
      </c>
      <c r="G22" s="25">
        <f>GETPIVOTDATA("Count",Parameters!$A$14,"Severity_Group_1","Injury","Age_Group_8","75-79")</f>
        <v>4049</v>
      </c>
      <c r="H22" s="26">
        <f t="shared" si="0"/>
        <v>1.0928277487179194</v>
      </c>
      <c r="I22" s="26">
        <f t="shared" si="1"/>
        <v>46.092287026654752</v>
      </c>
      <c r="J22" s="30">
        <f>B22/B27*100</f>
        <v>3.1987892845374697</v>
      </c>
      <c r="K22" s="28">
        <f>F22/F27*100</f>
        <v>1.5077744620700486</v>
      </c>
      <c r="L22" s="28">
        <f>G22/G27*100</f>
        <v>1.4009508058321627</v>
      </c>
      <c r="M22" s="8"/>
    </row>
    <row r="23" spans="1:13" ht="16" customHeight="1" x14ac:dyDescent="0.45">
      <c r="A23" s="23" t="s">
        <v>42</v>
      </c>
      <c r="B23" s="25">
        <f>'Table 3B-DMV-Licensed Drivers'!H20</f>
        <v>485545</v>
      </c>
      <c r="C23" s="25">
        <f>'Table 3B-DMV-Licensed Drivers'!I20</f>
        <v>239978</v>
      </c>
      <c r="D23" s="25">
        <f>'Table 3B-DMV-Licensed Drivers'!J20</f>
        <v>245567</v>
      </c>
      <c r="E23" s="25">
        <f>'Table 3B-DMV-Licensed Drivers'!K20</f>
        <v>0</v>
      </c>
      <c r="F23" s="25">
        <f>GETPIVOTDATA("Count",Parameters!$A$14,"Severity_Group_1","Fatal","Age_Group_8","80-84")</f>
        <v>62</v>
      </c>
      <c r="G23" s="25">
        <f>GETPIVOTDATA("Count",Parameters!$A$14,"Severity_Group_1","Injury","Age_Group_8","80-84")</f>
        <v>2257</v>
      </c>
      <c r="H23" s="26">
        <f t="shared" si="0"/>
        <v>1.2769156308890011</v>
      </c>
      <c r="I23" s="26">
        <f t="shared" si="1"/>
        <v>46.48384804703992</v>
      </c>
      <c r="J23" s="30">
        <f>B23/B27*100</f>
        <v>1.7680543034768379</v>
      </c>
      <c r="K23" s="28">
        <f>F23/F27*100</f>
        <v>0.97377100675357309</v>
      </c>
      <c r="L23" s="28">
        <f>G23/G27*100</f>
        <v>0.78092021950189949</v>
      </c>
      <c r="M23" s="8"/>
    </row>
    <row r="24" spans="1:13" ht="16" customHeight="1" x14ac:dyDescent="0.45">
      <c r="A24" s="23" t="s">
        <v>43</v>
      </c>
      <c r="B24" s="25">
        <f>'Table 3B-DMV-Licensed Drivers'!H21</f>
        <v>233689</v>
      </c>
      <c r="C24" s="25">
        <f>'Table 3B-DMV-Licensed Drivers'!I21</f>
        <v>117235</v>
      </c>
      <c r="D24" s="25">
        <f>'Table 3B-DMV-Licensed Drivers'!J21</f>
        <v>116454</v>
      </c>
      <c r="E24" s="25">
        <f>'Table 3B-DMV-Licensed Drivers'!K21</f>
        <v>0</v>
      </c>
      <c r="F24" s="25">
        <f>GETPIVOTDATA("Count",Parameters!$A$14,"Severity_Group_1","Fatal","Age_Group_8","85-89")</f>
        <v>34</v>
      </c>
      <c r="G24" s="25">
        <f>GETPIVOTDATA("Count",Parameters!$A$14,"Severity_Group_1","Injury","Age_Group_8","85-89")</f>
        <v>1035</v>
      </c>
      <c r="H24" s="26">
        <f t="shared" si="0"/>
        <v>1.4549251355433932</v>
      </c>
      <c r="I24" s="26">
        <f t="shared" si="1"/>
        <v>44.289632802570935</v>
      </c>
      <c r="J24" s="30">
        <f>B24/B27*100</f>
        <v>0.85095066806413155</v>
      </c>
      <c r="K24" s="28">
        <f>F24/F27*100</f>
        <v>0.53400345531647553</v>
      </c>
      <c r="L24" s="28">
        <f>G24/G27*100</f>
        <v>0.35810918351106158</v>
      </c>
      <c r="M24" s="8"/>
    </row>
    <row r="25" spans="1:13" ht="16" customHeight="1" x14ac:dyDescent="0.45">
      <c r="A25" s="23" t="s">
        <v>44</v>
      </c>
      <c r="B25" s="25">
        <f>'Table 3B-DMV-Licensed Drivers'!H22</f>
        <v>97498</v>
      </c>
      <c r="C25" s="25">
        <f>'Table 3B-DMV-Licensed Drivers'!I22</f>
        <v>49156</v>
      </c>
      <c r="D25" s="25">
        <f>'Table 3B-DMV-Licensed Drivers'!J22</f>
        <v>48342</v>
      </c>
      <c r="E25" s="25">
        <f>'Table 3B-DMV-Licensed Drivers'!K22</f>
        <v>0</v>
      </c>
      <c r="F25" s="25">
        <f>GETPIVOTDATA("Count",Parameters!$A$14,"Severity_Group_1","Fatal","Age_Group_8","90 and over")</f>
        <v>13</v>
      </c>
      <c r="G25" s="25">
        <f>GETPIVOTDATA("Count",Parameters!$A$14,"Severity_Group_1","Injury","Age_Group_8","90 and over")</f>
        <v>425</v>
      </c>
      <c r="H25" s="26">
        <f t="shared" si="0"/>
        <v>1.3333606843217298</v>
      </c>
      <c r="I25" s="26">
        <f t="shared" si="1"/>
        <v>43.590637756671939</v>
      </c>
      <c r="J25" s="30">
        <f>B25/B27*100</f>
        <v>0.35502735787699335</v>
      </c>
      <c r="K25" s="28">
        <f>F25/F27*100</f>
        <v>0.20417779173865241</v>
      </c>
      <c r="L25" s="28">
        <f>G25/G27*100</f>
        <v>0.14704966472676442</v>
      </c>
      <c r="M25" s="8"/>
    </row>
    <row r="26" spans="1:13" ht="16" customHeight="1" x14ac:dyDescent="0.45">
      <c r="A26" s="23" t="s">
        <v>153</v>
      </c>
      <c r="B26" s="24">
        <v>0</v>
      </c>
      <c r="C26" s="24">
        <v>0</v>
      </c>
      <c r="D26" s="24">
        <v>0</v>
      </c>
      <c r="E26" s="24">
        <v>0</v>
      </c>
      <c r="F26" s="25">
        <f>GETPIVOTDATA("Count",Parameters!$A$14,"Severity_Group_1","Fatal","Age_Group_8","Not Stated")</f>
        <v>332</v>
      </c>
      <c r="G26" s="25">
        <f>GETPIVOTDATA("Count",Parameters!$A$14,"Severity_Group_1","Injury","Age_Group_8","Not Stated")</f>
        <v>17072</v>
      </c>
      <c r="H26" s="26">
        <v>0</v>
      </c>
      <c r="I26" s="26">
        <v>0</v>
      </c>
      <c r="J26" s="26">
        <v>0</v>
      </c>
      <c r="K26" s="28">
        <f>F26/F27*100</f>
        <v>5.2143866813255846</v>
      </c>
      <c r="L26" s="28">
        <f>G26/G27*100</f>
        <v>5.9068985322713461</v>
      </c>
      <c r="M26" s="8"/>
    </row>
    <row r="27" spans="1:13" ht="21" customHeight="1" x14ac:dyDescent="0.45">
      <c r="A27" s="22" t="s">
        <v>16</v>
      </c>
      <c r="B27" s="25">
        <f>'Table 3B-DMV-Licensed Drivers'!H23</f>
        <v>27462109</v>
      </c>
      <c r="C27" s="25">
        <f>'Table 3B-DMV-Licensed Drivers'!I23</f>
        <v>13946651</v>
      </c>
      <c r="D27" s="25">
        <f>'Table 3B-DMV-Licensed Drivers'!J23</f>
        <v>13506603</v>
      </c>
      <c r="E27" s="25">
        <f>'Table 3B-DMV-Licensed Drivers'!K23</f>
        <v>8855</v>
      </c>
      <c r="F27" s="25">
        <f>GETPIVOTDATA("Count",Parameters!$A$14,"Severity_Group_1","Fatal")</f>
        <v>6367</v>
      </c>
      <c r="G27" s="25">
        <f>GETPIVOTDATA("Count",Parameters!$A$14,"Severity_Group_1","Injury")</f>
        <v>289018</v>
      </c>
      <c r="H27" s="26">
        <f t="shared" si="0"/>
        <v>2.3184672378949482</v>
      </c>
      <c r="I27" s="26">
        <f t="shared" si="1"/>
        <v>105.24246335195888</v>
      </c>
      <c r="J27" s="30">
        <f>SUM(J9:J26)</f>
        <v>100</v>
      </c>
      <c r="K27" s="28">
        <f>SUM(K9:K26)</f>
        <v>100.00000000000001</v>
      </c>
      <c r="L27" s="28">
        <f>SUM(L9:L26)</f>
        <v>100</v>
      </c>
      <c r="M27" s="8"/>
    </row>
    <row r="28" spans="1:13" ht="15" customHeight="1" x14ac:dyDescent="0.45"/>
    <row r="29" spans="1:13" ht="15" customHeight="1" x14ac:dyDescent="0.45">
      <c r="A29" s="2"/>
    </row>
    <row r="32" spans="1:13" ht="15" customHeight="1" x14ac:dyDescent="0.45">
      <c r="A32" s="2"/>
    </row>
  </sheetData>
  <pageMargins left="0.55000000000000004" right="0.55000000000000004" top="0.55000000000000004" bottom="0.55000000000000004" header="0.3" footer="0.3"/>
  <pageSetup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451A-C599-41B8-AB56-3DA75BFE2392}">
  <sheetPr>
    <pageSetUpPr fitToPage="1"/>
  </sheetPr>
  <dimension ref="A1:Q61"/>
  <sheetViews>
    <sheetView workbookViewId="0">
      <selection activeCell="A2" sqref="A2"/>
    </sheetView>
  </sheetViews>
  <sheetFormatPr defaultRowHeight="14.5" x14ac:dyDescent="0.35"/>
  <cols>
    <col min="1" max="1" width="13.54296875" bestFit="1" customWidth="1"/>
    <col min="2" max="2" width="9.26953125" bestFit="1" customWidth="1"/>
    <col min="3" max="3" width="9.1796875" bestFit="1" customWidth="1"/>
    <col min="4" max="4" width="9.7265625" bestFit="1" customWidth="1"/>
    <col min="5" max="5" width="9.1796875" bestFit="1" customWidth="1"/>
    <col min="6" max="6" width="13.1796875" bestFit="1" customWidth="1"/>
    <col min="7" max="7" width="9.1796875" bestFit="1" customWidth="1"/>
    <col min="8" max="8" width="13.7265625" bestFit="1" customWidth="1"/>
    <col min="9" max="9" width="9.1796875" bestFit="1" customWidth="1"/>
    <col min="10" max="10" width="10.453125" bestFit="1" customWidth="1"/>
    <col min="11" max="11" width="9.1796875" bestFit="1" customWidth="1"/>
    <col min="12" max="12" width="9.7265625" bestFit="1" customWidth="1"/>
    <col min="13" max="13" width="9.1796875" bestFit="1" customWidth="1"/>
    <col min="14" max="14" width="13.1796875" bestFit="1" customWidth="1"/>
    <col min="15" max="15" width="9.1796875" bestFit="1" customWidth="1"/>
    <col min="16" max="16" width="13.7265625" bestFit="1" customWidth="1"/>
    <col min="17" max="17" width="9.1796875" bestFit="1" customWidth="1"/>
    <col min="18" max="18" width="19.54296875" bestFit="1" customWidth="1"/>
    <col min="19" max="19" width="19.26953125" bestFit="1" customWidth="1"/>
    <col min="20" max="20" width="16.54296875" bestFit="1" customWidth="1"/>
    <col min="21" max="21" width="19.54296875" bestFit="1" customWidth="1"/>
    <col min="22" max="22" width="16.54296875" bestFit="1" customWidth="1"/>
    <col min="23" max="23" width="19.54296875" bestFit="1" customWidth="1"/>
    <col min="24" max="24" width="16.26953125" bestFit="1" customWidth="1"/>
    <col min="25" max="25" width="19.54296875" bestFit="1" customWidth="1"/>
    <col min="26" max="26" width="16.54296875" bestFit="1" customWidth="1"/>
    <col min="27" max="27" width="19.54296875" bestFit="1" customWidth="1"/>
    <col min="28" max="28" width="16.54296875" bestFit="1" customWidth="1"/>
    <col min="29" max="29" width="19.54296875" bestFit="1" customWidth="1"/>
    <col min="30" max="30" width="16.54296875" bestFit="1" customWidth="1"/>
    <col min="31" max="31" width="19.54296875" bestFit="1" customWidth="1"/>
    <col min="32" max="32" width="16.54296875" bestFit="1" customWidth="1"/>
    <col min="33" max="33" width="19.54296875" bestFit="1" customWidth="1"/>
    <col min="34" max="34" width="16.26953125" bestFit="1" customWidth="1"/>
    <col min="35" max="35" width="19.54296875" bestFit="1" customWidth="1"/>
    <col min="36" max="36" width="16.26953125" bestFit="1" customWidth="1"/>
    <col min="37" max="37" width="19.54296875" bestFit="1" customWidth="1"/>
    <col min="38" max="38" width="16.54296875" bestFit="1" customWidth="1"/>
    <col min="39" max="39" width="19.54296875" bestFit="1" customWidth="1"/>
    <col min="40" max="40" width="16.26953125" bestFit="1" customWidth="1"/>
    <col min="41" max="41" width="19.54296875" bestFit="1" customWidth="1"/>
    <col min="42" max="42" width="16.54296875" bestFit="1" customWidth="1"/>
    <col min="43" max="43" width="19.54296875" bestFit="1" customWidth="1"/>
    <col min="44" max="44" width="16.54296875" bestFit="1" customWidth="1"/>
    <col min="45" max="45" width="19.54296875" bestFit="1" customWidth="1"/>
    <col min="46" max="46" width="16.26953125" bestFit="1" customWidth="1"/>
    <col min="47" max="47" width="19.54296875" bestFit="1" customWidth="1"/>
    <col min="48" max="48" width="16.54296875" bestFit="1" customWidth="1"/>
    <col min="49" max="49" width="19.54296875" bestFit="1" customWidth="1"/>
    <col min="50" max="50" width="16.26953125" bestFit="1" customWidth="1"/>
    <col min="51" max="51" width="19.54296875" bestFit="1" customWidth="1"/>
    <col min="52" max="52" width="16.26953125" bestFit="1" customWidth="1"/>
    <col min="53" max="53" width="19.54296875" bestFit="1" customWidth="1"/>
    <col min="54" max="54" width="16.26953125" bestFit="1" customWidth="1"/>
    <col min="55" max="55" width="19.54296875" bestFit="1" customWidth="1"/>
    <col min="56" max="56" width="16.26953125" bestFit="1" customWidth="1"/>
    <col min="57" max="57" width="19.54296875" bestFit="1" customWidth="1"/>
    <col min="58" max="58" width="16.54296875" bestFit="1" customWidth="1"/>
    <col min="59" max="59" width="19.54296875" bestFit="1" customWidth="1"/>
    <col min="60" max="60" width="16.26953125" bestFit="1" customWidth="1"/>
    <col min="61" max="61" width="19.54296875" bestFit="1" customWidth="1"/>
    <col min="62" max="62" width="16.26953125" bestFit="1" customWidth="1"/>
    <col min="63" max="63" width="19.54296875" bestFit="1" customWidth="1"/>
    <col min="64" max="64" width="16.26953125" bestFit="1" customWidth="1"/>
    <col min="65" max="65" width="19.54296875" bestFit="1" customWidth="1"/>
    <col min="66" max="66" width="16.26953125" bestFit="1" customWidth="1"/>
    <col min="67" max="67" width="19.54296875" bestFit="1" customWidth="1"/>
    <col min="68" max="68" width="16.26953125" bestFit="1" customWidth="1"/>
    <col min="69" max="69" width="19.54296875" bestFit="1" customWidth="1"/>
    <col min="70" max="70" width="16.26953125" bestFit="1" customWidth="1"/>
    <col min="71" max="71" width="19.54296875" bestFit="1" customWidth="1"/>
    <col min="72" max="72" width="16.54296875" bestFit="1" customWidth="1"/>
    <col min="73" max="73" width="19.54296875" bestFit="1" customWidth="1"/>
    <col min="74" max="74" width="16.26953125" bestFit="1" customWidth="1"/>
    <col min="75" max="75" width="19.54296875" bestFit="1" customWidth="1"/>
    <col min="76" max="76" width="16.26953125" bestFit="1" customWidth="1"/>
    <col min="77" max="77" width="19.54296875" bestFit="1" customWidth="1"/>
    <col min="78" max="78" width="16.26953125" bestFit="1" customWidth="1"/>
    <col min="79" max="79" width="19.54296875" bestFit="1" customWidth="1"/>
    <col min="80" max="80" width="16.26953125" bestFit="1" customWidth="1"/>
    <col min="81" max="81" width="19.54296875" bestFit="1" customWidth="1"/>
    <col min="82" max="82" width="16.26953125" bestFit="1" customWidth="1"/>
    <col min="83" max="83" width="19.54296875" bestFit="1" customWidth="1"/>
    <col min="84" max="84" width="16.26953125" bestFit="1" customWidth="1"/>
    <col min="85" max="85" width="19.54296875" bestFit="1" customWidth="1"/>
    <col min="86" max="86" width="16.26953125" bestFit="1" customWidth="1"/>
    <col min="87" max="87" width="19.54296875" bestFit="1" customWidth="1"/>
    <col min="88" max="88" width="16.26953125" bestFit="1" customWidth="1"/>
    <col min="89" max="89" width="19.54296875" bestFit="1" customWidth="1"/>
    <col min="90" max="90" width="16.26953125" bestFit="1" customWidth="1"/>
    <col min="91" max="91" width="19.54296875" bestFit="1" customWidth="1"/>
    <col min="92" max="92" width="16.26953125" bestFit="1" customWidth="1"/>
    <col min="93" max="93" width="19.54296875" bestFit="1" customWidth="1"/>
    <col min="94" max="94" width="16.26953125" bestFit="1" customWidth="1"/>
    <col min="95" max="95" width="19.54296875" bestFit="1" customWidth="1"/>
    <col min="96" max="96" width="16.26953125" bestFit="1" customWidth="1"/>
    <col min="97" max="97" width="19.54296875" bestFit="1" customWidth="1"/>
    <col min="98" max="98" width="16.26953125" bestFit="1" customWidth="1"/>
    <col min="99" max="99" width="19.54296875" bestFit="1" customWidth="1"/>
    <col min="100" max="100" width="16.26953125" bestFit="1" customWidth="1"/>
    <col min="101" max="101" width="19.54296875" bestFit="1" customWidth="1"/>
    <col min="102" max="102" width="16.26953125" bestFit="1" customWidth="1"/>
    <col min="103" max="103" width="19.54296875" bestFit="1" customWidth="1"/>
    <col min="104" max="104" width="16.26953125" bestFit="1" customWidth="1"/>
    <col min="105" max="105" width="19.54296875" bestFit="1" customWidth="1"/>
    <col min="106" max="106" width="16.26953125" bestFit="1" customWidth="1"/>
    <col min="107" max="107" width="19.54296875" bestFit="1" customWidth="1"/>
    <col min="108" max="108" width="16.26953125" bestFit="1" customWidth="1"/>
    <col min="109" max="109" width="19.54296875" bestFit="1" customWidth="1"/>
    <col min="110" max="110" width="16.26953125" bestFit="1" customWidth="1"/>
    <col min="111" max="111" width="19.54296875" bestFit="1" customWidth="1"/>
    <col min="112" max="112" width="16.26953125" bestFit="1" customWidth="1"/>
    <col min="113" max="113" width="19.54296875" bestFit="1" customWidth="1"/>
    <col min="114" max="114" width="16.26953125" bestFit="1" customWidth="1"/>
    <col min="115" max="115" width="19.54296875" bestFit="1" customWidth="1"/>
    <col min="116" max="116" width="16.26953125" bestFit="1" customWidth="1"/>
    <col min="117" max="117" width="19.54296875" bestFit="1" customWidth="1"/>
    <col min="118" max="118" width="16.26953125" bestFit="1" customWidth="1"/>
    <col min="119" max="119" width="19.54296875" bestFit="1" customWidth="1"/>
    <col min="120" max="120" width="16.26953125" bestFit="1" customWidth="1"/>
    <col min="121" max="121" width="19.54296875" bestFit="1" customWidth="1"/>
    <col min="122" max="122" width="16.26953125" bestFit="1" customWidth="1"/>
    <col min="123" max="123" width="19.54296875" bestFit="1" customWidth="1"/>
    <col min="124" max="124" width="16.26953125" bestFit="1" customWidth="1"/>
    <col min="125" max="125" width="19.54296875" bestFit="1" customWidth="1"/>
    <col min="126" max="126" width="16.26953125" bestFit="1" customWidth="1"/>
    <col min="127" max="127" width="19.54296875" bestFit="1" customWidth="1"/>
    <col min="128" max="128" width="16.26953125" bestFit="1" customWidth="1"/>
    <col min="129" max="129" width="19.54296875" bestFit="1" customWidth="1"/>
    <col min="130" max="130" width="16.26953125" bestFit="1" customWidth="1"/>
    <col min="131" max="131" width="19.54296875" bestFit="1" customWidth="1"/>
    <col min="132" max="132" width="16.26953125" bestFit="1" customWidth="1"/>
    <col min="133" max="133" width="19.54296875" bestFit="1" customWidth="1"/>
    <col min="134" max="134" width="16.26953125" bestFit="1" customWidth="1"/>
    <col min="135" max="135" width="19.54296875" bestFit="1" customWidth="1"/>
    <col min="136" max="136" width="16.26953125" bestFit="1" customWidth="1"/>
    <col min="137" max="137" width="19.54296875" bestFit="1" customWidth="1"/>
    <col min="138" max="138" width="16.26953125" bestFit="1" customWidth="1"/>
    <col min="139" max="139" width="19.54296875" bestFit="1" customWidth="1"/>
    <col min="140" max="140" width="16.26953125" bestFit="1" customWidth="1"/>
    <col min="141" max="141" width="19.54296875" bestFit="1" customWidth="1"/>
    <col min="142" max="142" width="16.26953125" bestFit="1" customWidth="1"/>
    <col min="143" max="143" width="19.54296875" bestFit="1" customWidth="1"/>
    <col min="144" max="144" width="16.26953125" bestFit="1" customWidth="1"/>
    <col min="145" max="145" width="19.54296875" bestFit="1" customWidth="1"/>
    <col min="146" max="146" width="16.26953125" bestFit="1" customWidth="1"/>
    <col min="147" max="147" width="19.54296875" bestFit="1" customWidth="1"/>
    <col min="148" max="148" width="16.26953125" bestFit="1" customWidth="1"/>
    <col min="149" max="149" width="19.54296875" bestFit="1" customWidth="1"/>
    <col min="150" max="150" width="16.26953125" bestFit="1" customWidth="1"/>
    <col min="151" max="151" width="19.54296875" bestFit="1" customWidth="1"/>
    <col min="152" max="152" width="16.26953125" bestFit="1" customWidth="1"/>
    <col min="153" max="153" width="19.54296875" bestFit="1" customWidth="1"/>
    <col min="154" max="154" width="16.26953125" bestFit="1" customWidth="1"/>
    <col min="155" max="155" width="19.54296875" bestFit="1" customWidth="1"/>
    <col min="156" max="156" width="16.26953125" bestFit="1" customWidth="1"/>
    <col min="157" max="157" width="19.54296875" bestFit="1" customWidth="1"/>
    <col min="158" max="158" width="16.26953125" bestFit="1" customWidth="1"/>
    <col min="159" max="159" width="19.54296875" bestFit="1" customWidth="1"/>
    <col min="160" max="160" width="16.26953125" bestFit="1" customWidth="1"/>
    <col min="161" max="161" width="19.54296875" bestFit="1" customWidth="1"/>
    <col min="162" max="162" width="16.26953125" bestFit="1" customWidth="1"/>
    <col min="163" max="163" width="19.54296875" bestFit="1" customWidth="1"/>
    <col min="164" max="164" width="16.26953125" bestFit="1" customWidth="1"/>
    <col min="165" max="165" width="19.54296875" bestFit="1" customWidth="1"/>
    <col min="166" max="166" width="16.26953125" bestFit="1" customWidth="1"/>
    <col min="167" max="167" width="19.54296875" bestFit="1" customWidth="1"/>
    <col min="168" max="168" width="16.26953125" bestFit="1" customWidth="1"/>
    <col min="169" max="169" width="19.54296875" bestFit="1" customWidth="1"/>
    <col min="170" max="170" width="16.26953125" bestFit="1" customWidth="1"/>
    <col min="171" max="171" width="19.54296875" bestFit="1" customWidth="1"/>
    <col min="172" max="172" width="16.26953125" bestFit="1" customWidth="1"/>
    <col min="173" max="173" width="19.54296875" bestFit="1" customWidth="1"/>
    <col min="174" max="174" width="16.26953125" bestFit="1" customWidth="1"/>
    <col min="175" max="175" width="19.54296875" bestFit="1" customWidth="1"/>
    <col min="176" max="176" width="16.26953125" bestFit="1" customWidth="1"/>
    <col min="177" max="177" width="19.54296875" bestFit="1" customWidth="1"/>
    <col min="178" max="178" width="16.26953125" bestFit="1" customWidth="1"/>
    <col min="179" max="179" width="19.54296875" bestFit="1" customWidth="1"/>
    <col min="180" max="180" width="16.26953125" bestFit="1" customWidth="1"/>
    <col min="181" max="181" width="19.54296875" bestFit="1" customWidth="1"/>
    <col min="182" max="182" width="16.26953125" bestFit="1" customWidth="1"/>
    <col min="183" max="183" width="19.54296875" bestFit="1" customWidth="1"/>
    <col min="184" max="184" width="16.26953125" bestFit="1" customWidth="1"/>
    <col min="185" max="185" width="19.54296875" bestFit="1" customWidth="1"/>
    <col min="186" max="186" width="16.26953125" bestFit="1" customWidth="1"/>
    <col min="187" max="187" width="19.54296875" bestFit="1" customWidth="1"/>
    <col min="188" max="188" width="16.54296875" bestFit="1" customWidth="1"/>
    <col min="189" max="189" width="19.54296875" bestFit="1" customWidth="1"/>
    <col min="190" max="190" width="16.26953125" bestFit="1" customWidth="1"/>
    <col min="191" max="191" width="19.54296875" bestFit="1" customWidth="1"/>
    <col min="192" max="192" width="16.26953125" bestFit="1" customWidth="1"/>
    <col min="193" max="193" width="19.54296875" bestFit="1" customWidth="1"/>
    <col min="194" max="194" width="16.26953125" bestFit="1" customWidth="1"/>
    <col min="195" max="195" width="19.54296875" bestFit="1" customWidth="1"/>
    <col min="196" max="196" width="16.26953125" bestFit="1" customWidth="1"/>
    <col min="197" max="197" width="19.54296875" bestFit="1" customWidth="1"/>
    <col min="198" max="198" width="16.26953125" bestFit="1" customWidth="1"/>
    <col min="199" max="199" width="19.54296875" bestFit="1" customWidth="1"/>
    <col min="200" max="200" width="16.26953125" bestFit="1" customWidth="1"/>
    <col min="201" max="201" width="19.54296875" bestFit="1" customWidth="1"/>
    <col min="202" max="202" width="16.26953125" bestFit="1" customWidth="1"/>
    <col min="203" max="203" width="19.54296875" bestFit="1" customWidth="1"/>
    <col min="204" max="204" width="16.26953125" bestFit="1" customWidth="1"/>
    <col min="205" max="205" width="19.54296875" bestFit="1" customWidth="1"/>
    <col min="206" max="206" width="16.26953125" bestFit="1" customWidth="1"/>
    <col min="207" max="207" width="19.54296875" bestFit="1" customWidth="1"/>
    <col min="208" max="208" width="16.26953125" bestFit="1" customWidth="1"/>
    <col min="209" max="209" width="19.54296875" bestFit="1" customWidth="1"/>
    <col min="210" max="210" width="16.26953125" bestFit="1" customWidth="1"/>
    <col min="211" max="211" width="19.54296875" bestFit="1" customWidth="1"/>
    <col min="212" max="212" width="16.26953125" bestFit="1" customWidth="1"/>
    <col min="213" max="213" width="19.54296875" bestFit="1" customWidth="1"/>
    <col min="214" max="214" width="16.26953125" bestFit="1" customWidth="1"/>
    <col min="215" max="215" width="19.54296875" bestFit="1" customWidth="1"/>
    <col min="216" max="216" width="16.26953125" bestFit="1" customWidth="1"/>
    <col min="217" max="217" width="19.54296875" bestFit="1" customWidth="1"/>
    <col min="218" max="218" width="16.26953125" bestFit="1" customWidth="1"/>
    <col min="219" max="219" width="19.54296875" bestFit="1" customWidth="1"/>
    <col min="220" max="220" width="16.26953125" bestFit="1" customWidth="1"/>
    <col min="221" max="221" width="19.54296875" bestFit="1" customWidth="1"/>
    <col min="222" max="222" width="16.26953125" bestFit="1" customWidth="1"/>
    <col min="223" max="223" width="19.54296875" bestFit="1" customWidth="1"/>
    <col min="224" max="224" width="16.26953125" bestFit="1" customWidth="1"/>
    <col min="225" max="225" width="19.54296875" bestFit="1" customWidth="1"/>
    <col min="226" max="226" width="16.26953125" bestFit="1" customWidth="1"/>
    <col min="227" max="227" width="19.54296875" bestFit="1" customWidth="1"/>
    <col min="228" max="228" width="16.26953125" bestFit="1" customWidth="1"/>
    <col min="229" max="229" width="19.54296875" bestFit="1" customWidth="1"/>
    <col min="230" max="230" width="16.26953125" bestFit="1" customWidth="1"/>
    <col min="231" max="231" width="19.54296875" bestFit="1" customWidth="1"/>
    <col min="232" max="232" width="16.26953125" bestFit="1" customWidth="1"/>
    <col min="233" max="233" width="19.54296875" bestFit="1" customWidth="1"/>
    <col min="234" max="234" width="16.26953125" bestFit="1" customWidth="1"/>
    <col min="235" max="235" width="19.54296875" bestFit="1" customWidth="1"/>
    <col min="236" max="236" width="16.26953125" bestFit="1" customWidth="1"/>
    <col min="237" max="237" width="19.54296875" bestFit="1" customWidth="1"/>
    <col min="238" max="238" width="16.26953125" bestFit="1" customWidth="1"/>
    <col min="239" max="239" width="19.54296875" bestFit="1" customWidth="1"/>
    <col min="240" max="240" width="16.26953125" bestFit="1" customWidth="1"/>
    <col min="241" max="241" width="19.54296875" bestFit="1" customWidth="1"/>
    <col min="242" max="242" width="16.26953125" bestFit="1" customWidth="1"/>
    <col min="243" max="243" width="19.54296875" bestFit="1" customWidth="1"/>
    <col min="244" max="244" width="16.26953125" bestFit="1" customWidth="1"/>
    <col min="245" max="245" width="19.54296875" bestFit="1" customWidth="1"/>
    <col min="246" max="246" width="16.26953125" bestFit="1" customWidth="1"/>
    <col min="247" max="247" width="19.54296875" bestFit="1" customWidth="1"/>
    <col min="248" max="248" width="16.26953125" bestFit="1" customWidth="1"/>
    <col min="249" max="249" width="19.54296875" bestFit="1" customWidth="1"/>
    <col min="250" max="250" width="16.26953125" bestFit="1" customWidth="1"/>
    <col min="251" max="251" width="19.54296875" bestFit="1" customWidth="1"/>
    <col min="252" max="252" width="16.26953125" bestFit="1" customWidth="1"/>
    <col min="253" max="253" width="19.54296875" bestFit="1" customWidth="1"/>
    <col min="254" max="254" width="16.26953125" bestFit="1" customWidth="1"/>
    <col min="255" max="255" width="19.54296875" bestFit="1" customWidth="1"/>
    <col min="256" max="256" width="16.26953125" bestFit="1" customWidth="1"/>
    <col min="257" max="257" width="19.54296875" bestFit="1" customWidth="1"/>
    <col min="258" max="258" width="16.26953125" bestFit="1" customWidth="1"/>
    <col min="259" max="259" width="19.54296875" bestFit="1" customWidth="1"/>
    <col min="260" max="260" width="16.26953125" bestFit="1" customWidth="1"/>
    <col min="261" max="261" width="19.54296875" bestFit="1" customWidth="1"/>
    <col min="262" max="262" width="16.26953125" bestFit="1" customWidth="1"/>
    <col min="263" max="263" width="19.54296875" bestFit="1" customWidth="1"/>
    <col min="264" max="264" width="16.26953125" bestFit="1" customWidth="1"/>
    <col min="265" max="265" width="19.54296875" bestFit="1" customWidth="1"/>
    <col min="266" max="266" width="16.26953125" bestFit="1" customWidth="1"/>
    <col min="267" max="267" width="19.54296875" bestFit="1" customWidth="1"/>
    <col min="268" max="268" width="16.26953125" bestFit="1" customWidth="1"/>
    <col min="269" max="269" width="19.54296875" bestFit="1" customWidth="1"/>
    <col min="270" max="270" width="16.26953125" bestFit="1" customWidth="1"/>
    <col min="271" max="271" width="19.54296875" bestFit="1" customWidth="1"/>
    <col min="272" max="272" width="16.26953125" bestFit="1" customWidth="1"/>
    <col min="273" max="273" width="19.54296875" bestFit="1" customWidth="1"/>
    <col min="274" max="274" width="16.26953125" bestFit="1" customWidth="1"/>
    <col min="275" max="275" width="19.54296875" bestFit="1" customWidth="1"/>
    <col min="276" max="276" width="16.26953125" bestFit="1" customWidth="1"/>
    <col min="277" max="277" width="19.54296875" bestFit="1" customWidth="1"/>
    <col min="278" max="278" width="16.26953125" bestFit="1" customWidth="1"/>
    <col min="279" max="279" width="19.54296875" bestFit="1" customWidth="1"/>
    <col min="280" max="280" width="16.26953125" bestFit="1" customWidth="1"/>
    <col min="281" max="281" width="19.54296875" bestFit="1" customWidth="1"/>
    <col min="282" max="282" width="16.26953125" bestFit="1" customWidth="1"/>
    <col min="283" max="283" width="19.54296875" bestFit="1" customWidth="1"/>
    <col min="284" max="284" width="16.26953125" bestFit="1" customWidth="1"/>
    <col min="285" max="285" width="19.54296875" bestFit="1" customWidth="1"/>
    <col min="286" max="286" width="16.26953125" bestFit="1" customWidth="1"/>
    <col min="287" max="287" width="19.54296875" bestFit="1" customWidth="1"/>
    <col min="288" max="288" width="16.26953125" bestFit="1" customWidth="1"/>
    <col min="289" max="289" width="19.54296875" bestFit="1" customWidth="1"/>
    <col min="290" max="290" width="16.26953125" bestFit="1" customWidth="1"/>
    <col min="291" max="291" width="19.54296875" bestFit="1" customWidth="1"/>
    <col min="292" max="292" width="16.26953125" bestFit="1" customWidth="1"/>
    <col min="293" max="293" width="19.54296875" bestFit="1" customWidth="1"/>
    <col min="294" max="294" width="16.26953125" bestFit="1" customWidth="1"/>
    <col min="295" max="295" width="19.54296875" bestFit="1" customWidth="1"/>
    <col min="296" max="296" width="16.26953125" bestFit="1" customWidth="1"/>
    <col min="297" max="297" width="19.54296875" bestFit="1" customWidth="1"/>
    <col min="298" max="298" width="16.26953125" bestFit="1" customWidth="1"/>
    <col min="299" max="299" width="19.54296875" bestFit="1" customWidth="1"/>
    <col min="300" max="300" width="16.26953125" bestFit="1" customWidth="1"/>
    <col min="301" max="301" width="19.54296875" bestFit="1" customWidth="1"/>
    <col min="302" max="302" width="16.26953125" bestFit="1" customWidth="1"/>
    <col min="303" max="303" width="19.54296875" bestFit="1" customWidth="1"/>
    <col min="304" max="304" width="16.26953125" bestFit="1" customWidth="1"/>
    <col min="305" max="305" width="19.54296875" bestFit="1" customWidth="1"/>
    <col min="306" max="306" width="16.26953125" bestFit="1" customWidth="1"/>
    <col min="307" max="307" width="19.54296875" bestFit="1" customWidth="1"/>
    <col min="308" max="308" width="16.26953125" bestFit="1" customWidth="1"/>
    <col min="309" max="309" width="19.54296875" bestFit="1" customWidth="1"/>
    <col min="310" max="310" width="16.26953125" bestFit="1" customWidth="1"/>
    <col min="311" max="311" width="19.54296875" bestFit="1" customWidth="1"/>
    <col min="312" max="312" width="16.26953125" bestFit="1" customWidth="1"/>
    <col min="313" max="313" width="19.54296875" bestFit="1" customWidth="1"/>
    <col min="314" max="314" width="16.26953125" bestFit="1" customWidth="1"/>
    <col min="315" max="315" width="19.54296875" bestFit="1" customWidth="1"/>
    <col min="316" max="316" width="16.26953125" bestFit="1" customWidth="1"/>
    <col min="317" max="317" width="19.54296875" bestFit="1" customWidth="1"/>
    <col min="318" max="318" width="16.26953125" bestFit="1" customWidth="1"/>
    <col min="319" max="319" width="19.54296875" bestFit="1" customWidth="1"/>
    <col min="320" max="320" width="16.26953125" bestFit="1" customWidth="1"/>
    <col min="321" max="321" width="19.54296875" bestFit="1" customWidth="1"/>
    <col min="322" max="322" width="16.26953125" bestFit="1" customWidth="1"/>
    <col min="323" max="323" width="19.54296875" bestFit="1" customWidth="1"/>
    <col min="324" max="324" width="16.26953125" bestFit="1" customWidth="1"/>
    <col min="325" max="325" width="19.54296875" bestFit="1" customWidth="1"/>
    <col min="326" max="326" width="16.26953125" bestFit="1" customWidth="1"/>
    <col min="327" max="327" width="19.54296875" bestFit="1" customWidth="1"/>
    <col min="328" max="328" width="16.26953125" bestFit="1" customWidth="1"/>
    <col min="329" max="329" width="19.54296875" bestFit="1" customWidth="1"/>
    <col min="330" max="330" width="16.26953125" bestFit="1" customWidth="1"/>
    <col min="331" max="331" width="19.54296875" bestFit="1" customWidth="1"/>
    <col min="332" max="332" width="16.26953125" bestFit="1" customWidth="1"/>
    <col min="333" max="333" width="19.54296875" bestFit="1" customWidth="1"/>
    <col min="334" max="334" width="16.26953125" bestFit="1" customWidth="1"/>
    <col min="335" max="335" width="19.54296875" bestFit="1" customWidth="1"/>
    <col min="336" max="336" width="16.26953125" bestFit="1" customWidth="1"/>
    <col min="337" max="337" width="19.54296875" bestFit="1" customWidth="1"/>
    <col min="338" max="338" width="16.26953125" bestFit="1" customWidth="1"/>
    <col min="339" max="339" width="19.54296875" bestFit="1" customWidth="1"/>
    <col min="340" max="340" width="16.26953125" bestFit="1" customWidth="1"/>
    <col min="341" max="341" width="19.54296875" bestFit="1" customWidth="1"/>
    <col min="342" max="342" width="16.26953125" bestFit="1" customWidth="1"/>
    <col min="343" max="343" width="19.54296875" bestFit="1" customWidth="1"/>
    <col min="344" max="344" width="16.26953125" bestFit="1" customWidth="1"/>
    <col min="345" max="345" width="19.54296875" bestFit="1" customWidth="1"/>
    <col min="346" max="346" width="16.26953125" bestFit="1" customWidth="1"/>
    <col min="347" max="347" width="19.54296875" bestFit="1" customWidth="1"/>
    <col min="348" max="348" width="16.26953125" bestFit="1" customWidth="1"/>
    <col min="349" max="349" width="19.54296875" bestFit="1" customWidth="1"/>
    <col min="350" max="350" width="16.26953125" bestFit="1" customWidth="1"/>
    <col min="351" max="351" width="19.54296875" bestFit="1" customWidth="1"/>
    <col min="352" max="352" width="16.26953125" bestFit="1" customWidth="1"/>
    <col min="353" max="353" width="19.54296875" bestFit="1" customWidth="1"/>
    <col min="354" max="354" width="16.26953125" bestFit="1" customWidth="1"/>
    <col min="355" max="355" width="19.54296875" bestFit="1" customWidth="1"/>
    <col min="356" max="356" width="16.26953125" bestFit="1" customWidth="1"/>
    <col min="357" max="357" width="19.54296875" bestFit="1" customWidth="1"/>
    <col min="358" max="358" width="16.26953125" bestFit="1" customWidth="1"/>
    <col min="359" max="359" width="19.54296875" bestFit="1" customWidth="1"/>
    <col min="360" max="360" width="16.26953125" bestFit="1" customWidth="1"/>
    <col min="361" max="361" width="19.54296875" bestFit="1" customWidth="1"/>
    <col min="362" max="362" width="16.26953125" bestFit="1" customWidth="1"/>
    <col min="363" max="363" width="19.54296875" bestFit="1" customWidth="1"/>
    <col min="364" max="364" width="16.26953125" bestFit="1" customWidth="1"/>
    <col min="365" max="365" width="19.54296875" bestFit="1" customWidth="1"/>
    <col min="366" max="366" width="16.26953125" bestFit="1" customWidth="1"/>
    <col min="367" max="367" width="19.54296875" bestFit="1" customWidth="1"/>
    <col min="368" max="368" width="16.26953125" bestFit="1" customWidth="1"/>
    <col min="369" max="369" width="19.54296875" bestFit="1" customWidth="1"/>
    <col min="370" max="370" width="16.26953125" bestFit="1" customWidth="1"/>
    <col min="371" max="371" width="19.54296875" bestFit="1" customWidth="1"/>
    <col min="372" max="372" width="16.26953125" bestFit="1" customWidth="1"/>
    <col min="373" max="373" width="19.54296875" bestFit="1" customWidth="1"/>
    <col min="374" max="374" width="16.26953125" bestFit="1" customWidth="1"/>
    <col min="375" max="375" width="19.54296875" bestFit="1" customWidth="1"/>
    <col min="376" max="376" width="16.26953125" bestFit="1" customWidth="1"/>
    <col min="377" max="377" width="19.54296875" bestFit="1" customWidth="1"/>
    <col min="378" max="378" width="16.26953125" bestFit="1" customWidth="1"/>
    <col min="379" max="379" width="19.54296875" bestFit="1" customWidth="1"/>
    <col min="380" max="380" width="16.26953125" bestFit="1" customWidth="1"/>
    <col min="381" max="381" width="19.54296875" bestFit="1" customWidth="1"/>
    <col min="382" max="382" width="16.26953125" bestFit="1" customWidth="1"/>
    <col min="383" max="383" width="19.54296875" bestFit="1" customWidth="1"/>
    <col min="384" max="384" width="16.26953125" bestFit="1" customWidth="1"/>
    <col min="385" max="385" width="19.54296875" bestFit="1" customWidth="1"/>
    <col min="386" max="386" width="16.26953125" bestFit="1" customWidth="1"/>
    <col min="387" max="387" width="19.54296875" bestFit="1" customWidth="1"/>
    <col min="388" max="388" width="16.26953125" bestFit="1" customWidth="1"/>
    <col min="389" max="389" width="19.54296875" bestFit="1" customWidth="1"/>
    <col min="390" max="390" width="16.26953125" bestFit="1" customWidth="1"/>
    <col min="391" max="391" width="19.54296875" bestFit="1" customWidth="1"/>
    <col min="392" max="392" width="16.26953125" bestFit="1" customWidth="1"/>
    <col min="393" max="393" width="19.54296875" bestFit="1" customWidth="1"/>
    <col min="394" max="394" width="16.26953125" bestFit="1" customWidth="1"/>
    <col min="395" max="395" width="19.54296875" bestFit="1" customWidth="1"/>
    <col min="396" max="396" width="16.54296875" bestFit="1" customWidth="1"/>
    <col min="397" max="397" width="19.54296875" bestFit="1" customWidth="1"/>
    <col min="398" max="398" width="10.453125" bestFit="1" customWidth="1"/>
    <col min="399" max="399" width="15.26953125" bestFit="1" customWidth="1"/>
    <col min="400" max="400" width="14" bestFit="1" customWidth="1"/>
    <col min="401" max="401" width="10.453125" bestFit="1" customWidth="1"/>
    <col min="402" max="402" width="15.26953125" bestFit="1" customWidth="1"/>
    <col min="403" max="403" width="14" bestFit="1" customWidth="1"/>
    <col min="404" max="404" width="10.453125" bestFit="1" customWidth="1"/>
    <col min="405" max="405" width="15.26953125" bestFit="1" customWidth="1"/>
    <col min="406" max="406" width="14" bestFit="1" customWidth="1"/>
    <col min="407" max="407" width="10.453125" bestFit="1" customWidth="1"/>
    <col min="408" max="408" width="15.26953125" bestFit="1" customWidth="1"/>
    <col min="409" max="409" width="14" bestFit="1" customWidth="1"/>
    <col min="410" max="410" width="10.453125" bestFit="1" customWidth="1"/>
    <col min="411" max="411" width="15.26953125" bestFit="1" customWidth="1"/>
    <col min="412" max="412" width="14" bestFit="1" customWidth="1"/>
    <col min="413" max="413" width="10.453125" bestFit="1" customWidth="1"/>
    <col min="414" max="414" width="15.26953125" bestFit="1" customWidth="1"/>
    <col min="415" max="415" width="14" bestFit="1" customWidth="1"/>
    <col min="416" max="416" width="10.453125" bestFit="1" customWidth="1"/>
    <col min="417" max="417" width="15.26953125" bestFit="1" customWidth="1"/>
    <col min="418" max="418" width="14" bestFit="1" customWidth="1"/>
    <col min="419" max="419" width="10.453125" bestFit="1" customWidth="1"/>
    <col min="420" max="420" width="15.26953125" bestFit="1" customWidth="1"/>
    <col min="421" max="421" width="14" bestFit="1" customWidth="1"/>
    <col min="422" max="422" width="10.453125" bestFit="1" customWidth="1"/>
    <col min="423" max="423" width="15.26953125" bestFit="1" customWidth="1"/>
    <col min="424" max="424" width="14" bestFit="1" customWidth="1"/>
    <col min="425" max="425" width="10.453125" bestFit="1" customWidth="1"/>
    <col min="426" max="426" width="15.26953125" bestFit="1" customWidth="1"/>
    <col min="427" max="427" width="14" bestFit="1" customWidth="1"/>
    <col min="428" max="428" width="10.453125" bestFit="1" customWidth="1"/>
    <col min="429" max="429" width="15.26953125" bestFit="1" customWidth="1"/>
    <col min="430" max="430" width="14" bestFit="1" customWidth="1"/>
    <col min="431" max="431" width="10.453125" bestFit="1" customWidth="1"/>
    <col min="432" max="432" width="15.26953125" bestFit="1" customWidth="1"/>
    <col min="433" max="433" width="14" bestFit="1" customWidth="1"/>
    <col min="434" max="434" width="10.453125" bestFit="1" customWidth="1"/>
    <col min="435" max="435" width="15.26953125" bestFit="1" customWidth="1"/>
    <col min="436" max="436" width="14" bestFit="1" customWidth="1"/>
    <col min="437" max="437" width="10.453125" bestFit="1" customWidth="1"/>
    <col min="438" max="438" width="15.26953125" bestFit="1" customWidth="1"/>
    <col min="439" max="439" width="14" bestFit="1" customWidth="1"/>
    <col min="440" max="440" width="10.453125" bestFit="1" customWidth="1"/>
    <col min="441" max="441" width="15.26953125" bestFit="1" customWidth="1"/>
    <col min="442" max="442" width="14" bestFit="1" customWidth="1"/>
    <col min="443" max="443" width="10.453125" bestFit="1" customWidth="1"/>
    <col min="444" max="444" width="15.26953125" bestFit="1" customWidth="1"/>
    <col min="445" max="445" width="14" bestFit="1" customWidth="1"/>
    <col min="446" max="446" width="10.453125" bestFit="1" customWidth="1"/>
    <col min="447" max="447" width="15.26953125" bestFit="1" customWidth="1"/>
    <col min="448" max="448" width="14" bestFit="1" customWidth="1"/>
    <col min="449" max="449" width="10.453125" bestFit="1" customWidth="1"/>
    <col min="450" max="450" width="15.26953125" bestFit="1" customWidth="1"/>
    <col min="451" max="451" width="14" bestFit="1" customWidth="1"/>
    <col min="452" max="452" width="10.453125" bestFit="1" customWidth="1"/>
    <col min="453" max="453" width="15.26953125" bestFit="1" customWidth="1"/>
    <col min="454" max="454" width="14" bestFit="1" customWidth="1"/>
    <col min="455" max="455" width="10.453125" bestFit="1" customWidth="1"/>
    <col min="456" max="456" width="15.26953125" bestFit="1" customWidth="1"/>
    <col min="457" max="457" width="14" bestFit="1" customWidth="1"/>
    <col min="458" max="458" width="10.453125" bestFit="1" customWidth="1"/>
    <col min="459" max="459" width="15.26953125" bestFit="1" customWidth="1"/>
    <col min="460" max="460" width="14" bestFit="1" customWidth="1"/>
    <col min="461" max="461" width="10.453125" bestFit="1" customWidth="1"/>
    <col min="462" max="462" width="15.26953125" bestFit="1" customWidth="1"/>
    <col min="463" max="463" width="14" bestFit="1" customWidth="1"/>
    <col min="464" max="464" width="10.453125" bestFit="1" customWidth="1"/>
    <col min="465" max="465" width="15.26953125" bestFit="1" customWidth="1"/>
    <col min="466" max="466" width="14" bestFit="1" customWidth="1"/>
    <col min="467" max="467" width="10.453125" bestFit="1" customWidth="1"/>
    <col min="468" max="468" width="15.26953125" bestFit="1" customWidth="1"/>
    <col min="469" max="469" width="14" bestFit="1" customWidth="1"/>
    <col min="470" max="470" width="10.453125" bestFit="1" customWidth="1"/>
    <col min="471" max="471" width="15.26953125" bestFit="1" customWidth="1"/>
    <col min="472" max="472" width="14" bestFit="1" customWidth="1"/>
    <col min="473" max="473" width="10.453125" bestFit="1" customWidth="1"/>
    <col min="474" max="474" width="15.26953125" bestFit="1" customWidth="1"/>
    <col min="475" max="475" width="14" bestFit="1" customWidth="1"/>
    <col min="476" max="476" width="10.453125" bestFit="1" customWidth="1"/>
    <col min="477" max="477" width="15.26953125" bestFit="1" customWidth="1"/>
    <col min="478" max="478" width="14" bestFit="1" customWidth="1"/>
    <col min="479" max="479" width="10.453125" bestFit="1" customWidth="1"/>
    <col min="480" max="480" width="15.26953125" bestFit="1" customWidth="1"/>
    <col min="481" max="481" width="14" bestFit="1" customWidth="1"/>
    <col min="482" max="482" width="10.453125" bestFit="1" customWidth="1"/>
    <col min="483" max="483" width="15.26953125" bestFit="1" customWidth="1"/>
    <col min="484" max="484" width="14" bestFit="1" customWidth="1"/>
    <col min="485" max="485" width="10.453125" bestFit="1" customWidth="1"/>
    <col min="486" max="486" width="15.26953125" bestFit="1" customWidth="1"/>
    <col min="487" max="487" width="14" bestFit="1" customWidth="1"/>
    <col min="488" max="488" width="10.453125" bestFit="1" customWidth="1"/>
    <col min="489" max="489" width="15.26953125" bestFit="1" customWidth="1"/>
    <col min="490" max="490" width="14" bestFit="1" customWidth="1"/>
    <col min="491" max="491" width="10.453125" bestFit="1" customWidth="1"/>
    <col min="492" max="492" width="15.26953125" bestFit="1" customWidth="1"/>
    <col min="493" max="493" width="14" bestFit="1" customWidth="1"/>
    <col min="494" max="494" width="10.453125" bestFit="1" customWidth="1"/>
    <col min="495" max="495" width="15.26953125" bestFit="1" customWidth="1"/>
    <col min="496" max="496" width="14" bestFit="1" customWidth="1"/>
    <col min="497" max="497" width="10.453125" bestFit="1" customWidth="1"/>
    <col min="498" max="498" width="15.26953125" bestFit="1" customWidth="1"/>
    <col min="499" max="499" width="14" bestFit="1" customWidth="1"/>
    <col min="500" max="500" width="10.453125" bestFit="1" customWidth="1"/>
    <col min="501" max="501" width="15.26953125" bestFit="1" customWidth="1"/>
    <col min="502" max="502" width="14" bestFit="1" customWidth="1"/>
    <col min="503" max="503" width="10.453125" bestFit="1" customWidth="1"/>
    <col min="504" max="504" width="15.26953125" bestFit="1" customWidth="1"/>
    <col min="505" max="505" width="14" bestFit="1" customWidth="1"/>
    <col min="506" max="506" width="10.453125" bestFit="1" customWidth="1"/>
    <col min="507" max="507" width="15.26953125" bestFit="1" customWidth="1"/>
    <col min="508" max="508" width="14" bestFit="1" customWidth="1"/>
    <col min="509" max="509" width="10.453125" bestFit="1" customWidth="1"/>
    <col min="510" max="510" width="15.26953125" bestFit="1" customWidth="1"/>
    <col min="511" max="511" width="14" bestFit="1" customWidth="1"/>
    <col min="512" max="512" width="10.453125" bestFit="1" customWidth="1"/>
    <col min="513" max="513" width="15.26953125" bestFit="1" customWidth="1"/>
    <col min="514" max="514" width="14" bestFit="1" customWidth="1"/>
    <col min="515" max="515" width="10.453125" bestFit="1" customWidth="1"/>
    <col min="516" max="516" width="15.26953125" bestFit="1" customWidth="1"/>
    <col min="517" max="517" width="14" bestFit="1" customWidth="1"/>
    <col min="518" max="518" width="10.453125" bestFit="1" customWidth="1"/>
    <col min="519" max="519" width="15.26953125" bestFit="1" customWidth="1"/>
    <col min="520" max="520" width="14" bestFit="1" customWidth="1"/>
    <col min="521" max="521" width="10.453125" bestFit="1" customWidth="1"/>
    <col min="522" max="522" width="15.26953125" bestFit="1" customWidth="1"/>
    <col min="523" max="523" width="14" bestFit="1" customWidth="1"/>
    <col min="524" max="524" width="10.453125" bestFit="1" customWidth="1"/>
    <col min="525" max="525" width="15.26953125" bestFit="1" customWidth="1"/>
    <col min="526" max="526" width="14" bestFit="1" customWidth="1"/>
    <col min="527" max="527" width="10.453125" bestFit="1" customWidth="1"/>
    <col min="528" max="528" width="15.26953125" bestFit="1" customWidth="1"/>
    <col min="529" max="529" width="14" bestFit="1" customWidth="1"/>
    <col min="530" max="530" width="10.453125" bestFit="1" customWidth="1"/>
    <col min="531" max="531" width="15.26953125" bestFit="1" customWidth="1"/>
    <col min="532" max="532" width="14" bestFit="1" customWidth="1"/>
    <col min="533" max="533" width="10.453125" bestFit="1" customWidth="1"/>
    <col min="534" max="534" width="15.26953125" bestFit="1" customWidth="1"/>
    <col min="535" max="535" width="14" bestFit="1" customWidth="1"/>
    <col min="536" max="536" width="10.453125" bestFit="1" customWidth="1"/>
    <col min="537" max="537" width="15.26953125" bestFit="1" customWidth="1"/>
    <col min="538" max="538" width="14" bestFit="1" customWidth="1"/>
    <col min="539" max="539" width="10.453125" bestFit="1" customWidth="1"/>
    <col min="540" max="540" width="15.26953125" bestFit="1" customWidth="1"/>
    <col min="541" max="541" width="14" bestFit="1" customWidth="1"/>
    <col min="542" max="542" width="10.453125" bestFit="1" customWidth="1"/>
    <col min="543" max="543" width="15.26953125" bestFit="1" customWidth="1"/>
    <col min="544" max="544" width="14" bestFit="1" customWidth="1"/>
    <col min="545" max="545" width="10.453125" bestFit="1" customWidth="1"/>
    <col min="546" max="546" width="15.26953125" bestFit="1" customWidth="1"/>
    <col min="547" max="547" width="14" bestFit="1" customWidth="1"/>
    <col min="548" max="548" width="10.453125" bestFit="1" customWidth="1"/>
    <col min="549" max="549" width="15.26953125" bestFit="1" customWidth="1"/>
    <col min="550" max="550" width="14" bestFit="1" customWidth="1"/>
    <col min="551" max="551" width="10.453125" bestFit="1" customWidth="1"/>
    <col min="552" max="552" width="15.26953125" bestFit="1" customWidth="1"/>
    <col min="553" max="553" width="14" bestFit="1" customWidth="1"/>
    <col min="554" max="554" width="10.453125" bestFit="1" customWidth="1"/>
    <col min="555" max="555" width="15.26953125" bestFit="1" customWidth="1"/>
    <col min="556" max="556" width="14" bestFit="1" customWidth="1"/>
    <col min="557" max="557" width="10.453125" bestFit="1" customWidth="1"/>
    <col min="558" max="558" width="15.26953125" bestFit="1" customWidth="1"/>
    <col min="559" max="559" width="14" bestFit="1" customWidth="1"/>
    <col min="560" max="560" width="10.453125" bestFit="1" customWidth="1"/>
    <col min="561" max="561" width="15.26953125" bestFit="1" customWidth="1"/>
    <col min="562" max="562" width="14" bestFit="1" customWidth="1"/>
    <col min="563" max="563" width="10.54296875" bestFit="1" customWidth="1"/>
    <col min="564" max="564" width="15.26953125" bestFit="1" customWidth="1"/>
    <col min="565" max="565" width="15.453125" bestFit="1" customWidth="1"/>
    <col min="566" max="566" width="16.54296875" bestFit="1" customWidth="1"/>
    <col min="567" max="567" width="15.26953125" bestFit="1" customWidth="1"/>
    <col min="568" max="568" width="15.453125" bestFit="1" customWidth="1"/>
    <col min="569" max="569" width="9.81640625" bestFit="1" customWidth="1"/>
    <col min="570" max="570" width="14.7265625" bestFit="1" customWidth="1"/>
    <col min="571" max="571" width="14" bestFit="1" customWidth="1"/>
    <col min="572" max="572" width="10.54296875" bestFit="1" customWidth="1"/>
    <col min="573" max="573" width="14.7265625" bestFit="1" customWidth="1"/>
    <col min="574" max="574" width="15.453125" bestFit="1" customWidth="1"/>
    <col min="575" max="575" width="18.7265625" bestFit="1" customWidth="1"/>
    <col min="576" max="576" width="23.7265625" bestFit="1" customWidth="1"/>
    <col min="577" max="577" width="15.453125" bestFit="1" customWidth="1"/>
    <col min="578" max="578" width="33.453125" bestFit="1" customWidth="1"/>
    <col min="579" max="579" width="19.54296875" bestFit="1" customWidth="1"/>
    <col min="580" max="580" width="40.1796875" bestFit="1" customWidth="1"/>
    <col min="581" max="581" width="26.26953125" bestFit="1" customWidth="1"/>
    <col min="582" max="582" width="33.453125" bestFit="1" customWidth="1"/>
    <col min="583" max="583" width="19.54296875" bestFit="1" customWidth="1"/>
    <col min="584" max="584" width="40.1796875" bestFit="1" customWidth="1"/>
    <col min="585" max="585" width="26.26953125" bestFit="1" customWidth="1"/>
    <col min="586" max="586" width="33.453125" bestFit="1" customWidth="1"/>
    <col min="587" max="587" width="19.54296875" bestFit="1" customWidth="1"/>
    <col min="588" max="588" width="40.1796875" bestFit="1" customWidth="1"/>
    <col min="589" max="589" width="26.26953125" bestFit="1" customWidth="1"/>
    <col min="590" max="590" width="33.453125" bestFit="1" customWidth="1"/>
    <col min="591" max="591" width="19.54296875" bestFit="1" customWidth="1"/>
    <col min="592" max="592" width="40.1796875" bestFit="1" customWidth="1"/>
    <col min="593" max="593" width="26.26953125" bestFit="1" customWidth="1"/>
    <col min="594" max="594" width="33.453125" bestFit="1" customWidth="1"/>
    <col min="595" max="595" width="19.54296875" bestFit="1" customWidth="1"/>
    <col min="596" max="596" width="40.1796875" bestFit="1" customWidth="1"/>
    <col min="597" max="597" width="26.26953125" bestFit="1" customWidth="1"/>
    <col min="598" max="598" width="33.453125" bestFit="1" customWidth="1"/>
    <col min="599" max="599" width="19.54296875" bestFit="1" customWidth="1"/>
    <col min="600" max="600" width="40.1796875" bestFit="1" customWidth="1"/>
    <col min="601" max="601" width="26.26953125" bestFit="1" customWidth="1"/>
    <col min="602" max="602" width="33.453125" bestFit="1" customWidth="1"/>
    <col min="603" max="603" width="19.54296875" bestFit="1" customWidth="1"/>
    <col min="604" max="604" width="40.1796875" bestFit="1" customWidth="1"/>
    <col min="605" max="605" width="26.26953125" bestFit="1" customWidth="1"/>
    <col min="606" max="606" width="33.453125" bestFit="1" customWidth="1"/>
    <col min="607" max="607" width="19.54296875" bestFit="1" customWidth="1"/>
    <col min="608" max="608" width="40.1796875" bestFit="1" customWidth="1"/>
    <col min="609" max="609" width="26.26953125" bestFit="1" customWidth="1"/>
    <col min="610" max="610" width="33.453125" bestFit="1" customWidth="1"/>
    <col min="611" max="611" width="19.54296875" bestFit="1" customWidth="1"/>
    <col min="612" max="612" width="40.1796875" bestFit="1" customWidth="1"/>
    <col min="613" max="613" width="26.26953125" bestFit="1" customWidth="1"/>
    <col min="614" max="614" width="33.453125" bestFit="1" customWidth="1"/>
    <col min="615" max="615" width="19.54296875" bestFit="1" customWidth="1"/>
    <col min="616" max="616" width="40.1796875" bestFit="1" customWidth="1"/>
    <col min="617" max="617" width="26.26953125" bestFit="1" customWidth="1"/>
    <col min="618" max="618" width="33.453125" bestFit="1" customWidth="1"/>
    <col min="619" max="619" width="19.54296875" bestFit="1" customWidth="1"/>
    <col min="620" max="620" width="40.1796875" bestFit="1" customWidth="1"/>
    <col min="621" max="621" width="26.26953125" bestFit="1" customWidth="1"/>
    <col min="622" max="622" width="33.453125" bestFit="1" customWidth="1"/>
    <col min="623" max="623" width="19.54296875" bestFit="1" customWidth="1"/>
    <col min="624" max="624" width="40.1796875" bestFit="1" customWidth="1"/>
    <col min="625" max="625" width="26.26953125" bestFit="1" customWidth="1"/>
    <col min="626" max="626" width="33.453125" bestFit="1" customWidth="1"/>
    <col min="627" max="627" width="19.54296875" bestFit="1" customWidth="1"/>
    <col min="628" max="628" width="40.1796875" bestFit="1" customWidth="1"/>
    <col min="629" max="629" width="26.26953125" bestFit="1" customWidth="1"/>
    <col min="630" max="630" width="33.453125" bestFit="1" customWidth="1"/>
    <col min="631" max="631" width="19.54296875" bestFit="1" customWidth="1"/>
    <col min="632" max="632" width="40.1796875" bestFit="1" customWidth="1"/>
    <col min="633" max="633" width="26.26953125" bestFit="1" customWidth="1"/>
    <col min="634" max="634" width="33.453125" bestFit="1" customWidth="1"/>
    <col min="635" max="635" width="19.54296875" bestFit="1" customWidth="1"/>
    <col min="636" max="636" width="40.1796875" bestFit="1" customWidth="1"/>
    <col min="637" max="637" width="26.26953125" bestFit="1" customWidth="1"/>
    <col min="638" max="638" width="33.453125" bestFit="1" customWidth="1"/>
    <col min="639" max="639" width="19.54296875" bestFit="1" customWidth="1"/>
    <col min="640" max="640" width="40.1796875" bestFit="1" customWidth="1"/>
    <col min="641" max="641" width="26.26953125" bestFit="1" customWidth="1"/>
    <col min="642" max="642" width="33.453125" bestFit="1" customWidth="1"/>
    <col min="643" max="643" width="19.54296875" bestFit="1" customWidth="1"/>
    <col min="644" max="644" width="40.1796875" bestFit="1" customWidth="1"/>
    <col min="645" max="645" width="26.26953125" bestFit="1" customWidth="1"/>
    <col min="646" max="646" width="33.453125" bestFit="1" customWidth="1"/>
    <col min="647" max="647" width="19.54296875" bestFit="1" customWidth="1"/>
    <col min="648" max="648" width="40.1796875" bestFit="1" customWidth="1"/>
    <col min="649" max="649" width="26.26953125" bestFit="1" customWidth="1"/>
    <col min="650" max="650" width="33.453125" bestFit="1" customWidth="1"/>
    <col min="651" max="651" width="19.54296875" bestFit="1" customWidth="1"/>
    <col min="652" max="652" width="40.1796875" bestFit="1" customWidth="1"/>
    <col min="653" max="653" width="26.26953125" bestFit="1" customWidth="1"/>
    <col min="654" max="654" width="33.453125" bestFit="1" customWidth="1"/>
    <col min="655" max="655" width="19.54296875" bestFit="1" customWidth="1"/>
    <col min="656" max="656" width="40.1796875" bestFit="1" customWidth="1"/>
    <col min="657" max="657" width="26.26953125" bestFit="1" customWidth="1"/>
    <col min="658" max="658" width="33.453125" bestFit="1" customWidth="1"/>
    <col min="659" max="659" width="19.54296875" bestFit="1" customWidth="1"/>
    <col min="660" max="660" width="40.1796875" bestFit="1" customWidth="1"/>
    <col min="661" max="661" width="26.26953125" bestFit="1" customWidth="1"/>
    <col min="662" max="662" width="33.453125" bestFit="1" customWidth="1"/>
    <col min="663" max="663" width="19.54296875" bestFit="1" customWidth="1"/>
    <col min="664" max="664" width="40.1796875" bestFit="1" customWidth="1"/>
    <col min="665" max="665" width="26.26953125" bestFit="1" customWidth="1"/>
    <col min="666" max="666" width="33.453125" bestFit="1" customWidth="1"/>
    <col min="667" max="667" width="19.54296875" bestFit="1" customWidth="1"/>
    <col min="668" max="668" width="40.1796875" bestFit="1" customWidth="1"/>
    <col min="669" max="669" width="26.26953125" bestFit="1" customWidth="1"/>
    <col min="670" max="670" width="33.453125" bestFit="1" customWidth="1"/>
    <col min="671" max="671" width="19.54296875" bestFit="1" customWidth="1"/>
    <col min="672" max="672" width="40.1796875" bestFit="1" customWidth="1"/>
    <col min="673" max="673" width="26.26953125" bestFit="1" customWidth="1"/>
    <col min="674" max="674" width="33.453125" bestFit="1" customWidth="1"/>
    <col min="675" max="675" width="19.54296875" bestFit="1" customWidth="1"/>
    <col min="676" max="676" width="40.1796875" bestFit="1" customWidth="1"/>
    <col min="677" max="677" width="26.26953125" bestFit="1" customWidth="1"/>
    <col min="678" max="678" width="33.453125" bestFit="1" customWidth="1"/>
    <col min="679" max="679" width="19.54296875" bestFit="1" customWidth="1"/>
    <col min="680" max="680" width="40.1796875" bestFit="1" customWidth="1"/>
    <col min="681" max="681" width="26.26953125" bestFit="1" customWidth="1"/>
    <col min="682" max="682" width="33.453125" bestFit="1" customWidth="1"/>
    <col min="683" max="683" width="19.54296875" bestFit="1" customWidth="1"/>
    <col min="684" max="684" width="40.1796875" bestFit="1" customWidth="1"/>
    <col min="685" max="685" width="26.26953125" bestFit="1" customWidth="1"/>
    <col min="686" max="686" width="33.453125" bestFit="1" customWidth="1"/>
    <col min="687" max="687" width="19.54296875" bestFit="1" customWidth="1"/>
    <col min="688" max="688" width="40.1796875" bestFit="1" customWidth="1"/>
    <col min="689" max="689" width="26.26953125" bestFit="1" customWidth="1"/>
    <col min="690" max="690" width="33.453125" bestFit="1" customWidth="1"/>
    <col min="691" max="691" width="19.54296875" bestFit="1" customWidth="1"/>
    <col min="692" max="692" width="40.1796875" bestFit="1" customWidth="1"/>
    <col min="693" max="693" width="26.26953125" bestFit="1" customWidth="1"/>
    <col min="694" max="694" width="33.453125" bestFit="1" customWidth="1"/>
    <col min="695" max="695" width="19.54296875" bestFit="1" customWidth="1"/>
    <col min="696" max="696" width="40.1796875" bestFit="1" customWidth="1"/>
    <col min="697" max="697" width="26.26953125" bestFit="1" customWidth="1"/>
    <col min="698" max="698" width="33.453125" bestFit="1" customWidth="1"/>
    <col min="699" max="699" width="19.54296875" bestFit="1" customWidth="1"/>
    <col min="700" max="700" width="40.1796875" bestFit="1" customWidth="1"/>
    <col min="701" max="701" width="26.26953125" bestFit="1" customWidth="1"/>
    <col min="702" max="702" width="33.453125" bestFit="1" customWidth="1"/>
    <col min="703" max="703" width="19.54296875" bestFit="1" customWidth="1"/>
    <col min="704" max="704" width="40.1796875" bestFit="1" customWidth="1"/>
    <col min="705" max="705" width="26.26953125" bestFit="1" customWidth="1"/>
    <col min="706" max="706" width="33.453125" bestFit="1" customWidth="1"/>
    <col min="707" max="707" width="19.54296875" bestFit="1" customWidth="1"/>
    <col min="708" max="708" width="40.1796875" bestFit="1" customWidth="1"/>
    <col min="709" max="709" width="26.26953125" bestFit="1" customWidth="1"/>
    <col min="710" max="710" width="33.453125" bestFit="1" customWidth="1"/>
    <col min="711" max="711" width="19.54296875" bestFit="1" customWidth="1"/>
    <col min="712" max="712" width="40.1796875" bestFit="1" customWidth="1"/>
    <col min="713" max="713" width="26.26953125" bestFit="1" customWidth="1"/>
    <col min="714" max="714" width="33.453125" bestFit="1" customWidth="1"/>
    <col min="715" max="715" width="19.54296875" bestFit="1" customWidth="1"/>
    <col min="716" max="716" width="40.1796875" bestFit="1" customWidth="1"/>
    <col min="717" max="717" width="26.26953125" bestFit="1" customWidth="1"/>
    <col min="718" max="718" width="33.453125" bestFit="1" customWidth="1"/>
    <col min="719" max="719" width="19.54296875" bestFit="1" customWidth="1"/>
    <col min="720" max="720" width="40.1796875" bestFit="1" customWidth="1"/>
    <col min="721" max="721" width="26.26953125" bestFit="1" customWidth="1"/>
    <col min="722" max="722" width="33.453125" bestFit="1" customWidth="1"/>
    <col min="723" max="723" width="19.54296875" bestFit="1" customWidth="1"/>
    <col min="724" max="724" width="40.1796875" bestFit="1" customWidth="1"/>
    <col min="725" max="725" width="26.26953125" bestFit="1" customWidth="1"/>
    <col min="726" max="726" width="33.453125" bestFit="1" customWidth="1"/>
    <col min="727" max="727" width="19.54296875" bestFit="1" customWidth="1"/>
    <col min="728" max="728" width="40.1796875" bestFit="1" customWidth="1"/>
    <col min="729" max="729" width="26.26953125" bestFit="1" customWidth="1"/>
    <col min="730" max="730" width="33.453125" bestFit="1" customWidth="1"/>
    <col min="731" max="731" width="19.54296875" bestFit="1" customWidth="1"/>
    <col min="732" max="732" width="40.1796875" bestFit="1" customWidth="1"/>
    <col min="733" max="733" width="26.26953125" bestFit="1" customWidth="1"/>
    <col min="734" max="734" width="33.453125" bestFit="1" customWidth="1"/>
    <col min="735" max="735" width="19.54296875" bestFit="1" customWidth="1"/>
    <col min="736" max="736" width="40.1796875" bestFit="1" customWidth="1"/>
    <col min="737" max="737" width="26.26953125" bestFit="1" customWidth="1"/>
    <col min="738" max="738" width="33.453125" bestFit="1" customWidth="1"/>
    <col min="739" max="739" width="19.54296875" bestFit="1" customWidth="1"/>
    <col min="740" max="740" width="40.1796875" bestFit="1" customWidth="1"/>
    <col min="741" max="741" width="26.26953125" bestFit="1" customWidth="1"/>
    <col min="742" max="742" width="33.453125" bestFit="1" customWidth="1"/>
    <col min="743" max="743" width="19.54296875" bestFit="1" customWidth="1"/>
    <col min="744" max="744" width="40.1796875" bestFit="1" customWidth="1"/>
    <col min="745" max="745" width="26.26953125" bestFit="1" customWidth="1"/>
    <col min="746" max="746" width="33.453125" bestFit="1" customWidth="1"/>
    <col min="747" max="747" width="19.54296875" bestFit="1" customWidth="1"/>
    <col min="748" max="748" width="41.54296875" bestFit="1" customWidth="1"/>
    <col min="749" max="749" width="27.7265625" bestFit="1" customWidth="1"/>
    <col min="750" max="750" width="33.453125" bestFit="1" customWidth="1"/>
    <col min="751" max="751" width="19.54296875" bestFit="1" customWidth="1"/>
    <col min="752" max="752" width="41.54296875" bestFit="1" customWidth="1"/>
    <col min="753" max="753" width="27.7265625" bestFit="1" customWidth="1"/>
  </cols>
  <sheetData>
    <row r="1" spans="1:17" ht="17.5" x14ac:dyDescent="0.35">
      <c r="A1" s="1" t="str">
        <f>Parameters!$A$37</f>
        <v>TABLE 3C DRIVERS IN FATAL AND INJURY CRASHES AND DRIVERS WHO WERE AT FAULT BY SEX BY AGE - 2021</v>
      </c>
    </row>
    <row r="3" spans="1:17" ht="15.5" x14ac:dyDescent="0.35">
      <c r="A3" s="55"/>
      <c r="B3" s="56" t="s">
        <v>15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7" ht="15.5" x14ac:dyDescent="0.35">
      <c r="A4" s="55"/>
      <c r="B4" s="60" t="s">
        <v>20</v>
      </c>
      <c r="C4" s="60"/>
      <c r="D4" s="60"/>
      <c r="E4" s="60"/>
      <c r="F4" s="60"/>
      <c r="G4" s="60"/>
      <c r="H4" s="60"/>
      <c r="I4" s="60"/>
      <c r="J4" s="60" t="s">
        <v>21</v>
      </c>
      <c r="K4" s="60"/>
      <c r="L4" s="60"/>
      <c r="M4" s="60"/>
      <c r="N4" s="60"/>
      <c r="O4" s="60"/>
      <c r="P4" s="60"/>
      <c r="Q4" s="60"/>
    </row>
    <row r="5" spans="1:17" ht="15.5" x14ac:dyDescent="0.35">
      <c r="A5" s="55"/>
      <c r="B5" s="62" t="s">
        <v>23</v>
      </c>
      <c r="C5" s="62"/>
      <c r="D5" s="62" t="s">
        <v>24</v>
      </c>
      <c r="E5" s="62"/>
      <c r="F5" s="62" t="s">
        <v>54</v>
      </c>
      <c r="G5" s="62"/>
      <c r="H5" s="62" t="s">
        <v>153</v>
      </c>
      <c r="I5" s="62"/>
      <c r="J5" s="62" t="s">
        <v>23</v>
      </c>
      <c r="K5" s="62"/>
      <c r="L5" s="62" t="s">
        <v>24</v>
      </c>
      <c r="M5" s="62"/>
      <c r="N5" s="62" t="s">
        <v>54</v>
      </c>
      <c r="O5" s="62"/>
      <c r="P5" s="62" t="s">
        <v>153</v>
      </c>
      <c r="Q5" s="62"/>
    </row>
    <row r="6" spans="1:17" ht="15.5" x14ac:dyDescent="0.35">
      <c r="A6" s="61" t="s">
        <v>189</v>
      </c>
      <c r="B6" s="59" t="s">
        <v>16</v>
      </c>
      <c r="C6" s="59" t="s">
        <v>17</v>
      </c>
      <c r="D6" s="59" t="s">
        <v>16</v>
      </c>
      <c r="E6" s="59" t="s">
        <v>17</v>
      </c>
      <c r="F6" s="59" t="s">
        <v>16</v>
      </c>
      <c r="G6" s="59" t="s">
        <v>17</v>
      </c>
      <c r="H6" s="59" t="s">
        <v>16</v>
      </c>
      <c r="I6" s="59" t="s">
        <v>17</v>
      </c>
      <c r="J6" s="59" t="s">
        <v>16</v>
      </c>
      <c r="K6" s="59" t="s">
        <v>17</v>
      </c>
      <c r="L6" s="59" t="s">
        <v>16</v>
      </c>
      <c r="M6" s="59" t="s">
        <v>17</v>
      </c>
      <c r="N6" s="59" t="s">
        <v>16</v>
      </c>
      <c r="O6" s="59" t="s">
        <v>17</v>
      </c>
      <c r="P6" s="59" t="s">
        <v>16</v>
      </c>
      <c r="Q6" s="59" t="s">
        <v>17</v>
      </c>
    </row>
    <row r="7" spans="1:17" ht="15.5" x14ac:dyDescent="0.35">
      <c r="A7" s="57" t="s">
        <v>28</v>
      </c>
      <c r="B7" s="58">
        <v>9</v>
      </c>
      <c r="C7" s="58">
        <v>5</v>
      </c>
      <c r="D7" s="58">
        <v>2</v>
      </c>
      <c r="E7" s="58">
        <v>2</v>
      </c>
      <c r="F7" s="58">
        <v>0</v>
      </c>
      <c r="G7" s="58">
        <v>0</v>
      </c>
      <c r="H7" s="58">
        <v>0</v>
      </c>
      <c r="I7" s="58">
        <v>0</v>
      </c>
      <c r="J7" s="58">
        <v>261</v>
      </c>
      <c r="K7" s="58">
        <v>187</v>
      </c>
      <c r="L7" s="58">
        <v>101</v>
      </c>
      <c r="M7" s="58">
        <v>67</v>
      </c>
      <c r="N7" s="58">
        <v>0</v>
      </c>
      <c r="O7" s="58">
        <v>0</v>
      </c>
      <c r="P7" s="58">
        <v>3</v>
      </c>
      <c r="Q7" s="58">
        <v>3</v>
      </c>
    </row>
    <row r="8" spans="1:17" ht="15.5" x14ac:dyDescent="0.35">
      <c r="A8" s="57" t="s">
        <v>55</v>
      </c>
      <c r="B8" s="58">
        <v>2</v>
      </c>
      <c r="C8" s="58">
        <v>2</v>
      </c>
      <c r="D8" s="58">
        <v>3</v>
      </c>
      <c r="E8" s="58">
        <v>3</v>
      </c>
      <c r="F8" s="58">
        <v>0</v>
      </c>
      <c r="G8" s="58">
        <v>0</v>
      </c>
      <c r="H8" s="58">
        <v>0</v>
      </c>
      <c r="I8" s="58">
        <v>0</v>
      </c>
      <c r="J8" s="58">
        <v>167</v>
      </c>
      <c r="K8" s="58">
        <v>127</v>
      </c>
      <c r="L8" s="58">
        <v>81</v>
      </c>
      <c r="M8" s="58">
        <v>62</v>
      </c>
      <c r="N8" s="58">
        <v>0</v>
      </c>
      <c r="O8" s="58">
        <v>0</v>
      </c>
      <c r="P8" s="58">
        <v>3</v>
      </c>
      <c r="Q8" s="58">
        <v>2</v>
      </c>
    </row>
    <row r="9" spans="1:17" ht="15.5" x14ac:dyDescent="0.35">
      <c r="A9" s="57" t="s">
        <v>56</v>
      </c>
      <c r="B9" s="58">
        <v>15</v>
      </c>
      <c r="C9" s="58">
        <v>11</v>
      </c>
      <c r="D9" s="58">
        <v>6</v>
      </c>
      <c r="E9" s="58">
        <v>0</v>
      </c>
      <c r="F9" s="58">
        <v>0</v>
      </c>
      <c r="G9" s="58">
        <v>0</v>
      </c>
      <c r="H9" s="58">
        <v>1</v>
      </c>
      <c r="I9" s="58">
        <v>1</v>
      </c>
      <c r="J9" s="58">
        <v>925</v>
      </c>
      <c r="K9" s="58">
        <v>674</v>
      </c>
      <c r="L9" s="58">
        <v>634</v>
      </c>
      <c r="M9" s="58">
        <v>401</v>
      </c>
      <c r="N9" s="58">
        <v>0</v>
      </c>
      <c r="O9" s="58">
        <v>0</v>
      </c>
      <c r="P9" s="58">
        <v>9</v>
      </c>
      <c r="Q9" s="58">
        <v>6</v>
      </c>
    </row>
    <row r="10" spans="1:17" ht="15.5" x14ac:dyDescent="0.35">
      <c r="A10" s="57" t="s">
        <v>57</v>
      </c>
      <c r="B10" s="58">
        <v>35</v>
      </c>
      <c r="C10" s="58">
        <v>24</v>
      </c>
      <c r="D10" s="58">
        <v>20</v>
      </c>
      <c r="E10" s="58">
        <v>11</v>
      </c>
      <c r="F10" s="58">
        <v>0</v>
      </c>
      <c r="G10" s="58">
        <v>0</v>
      </c>
      <c r="H10" s="58">
        <v>0</v>
      </c>
      <c r="I10" s="58">
        <v>0</v>
      </c>
      <c r="J10" s="58">
        <v>1702</v>
      </c>
      <c r="K10" s="58">
        <v>1135</v>
      </c>
      <c r="L10" s="58">
        <v>1273</v>
      </c>
      <c r="M10" s="58">
        <v>812</v>
      </c>
      <c r="N10" s="58">
        <v>0</v>
      </c>
      <c r="O10" s="58">
        <v>0</v>
      </c>
      <c r="P10" s="58">
        <v>23</v>
      </c>
      <c r="Q10" s="58">
        <v>14</v>
      </c>
    </row>
    <row r="11" spans="1:17" ht="15.5" x14ac:dyDescent="0.35">
      <c r="A11" s="57" t="s">
        <v>58</v>
      </c>
      <c r="B11" s="58">
        <v>78</v>
      </c>
      <c r="C11" s="58">
        <v>50</v>
      </c>
      <c r="D11" s="58">
        <v>38</v>
      </c>
      <c r="E11" s="58">
        <v>23</v>
      </c>
      <c r="F11" s="58">
        <v>0</v>
      </c>
      <c r="G11" s="58">
        <v>0</v>
      </c>
      <c r="H11" s="58">
        <v>0</v>
      </c>
      <c r="I11" s="58">
        <v>0</v>
      </c>
      <c r="J11" s="58">
        <v>3404</v>
      </c>
      <c r="K11" s="58">
        <v>2308</v>
      </c>
      <c r="L11" s="58">
        <v>2181</v>
      </c>
      <c r="M11" s="58">
        <v>1309</v>
      </c>
      <c r="N11" s="58">
        <v>1</v>
      </c>
      <c r="O11" s="58">
        <v>1</v>
      </c>
      <c r="P11" s="58">
        <v>27</v>
      </c>
      <c r="Q11" s="58">
        <v>18</v>
      </c>
    </row>
    <row r="12" spans="1:17" ht="15.5" x14ac:dyDescent="0.35">
      <c r="A12" s="57" t="s">
        <v>59</v>
      </c>
      <c r="B12" s="58">
        <v>119</v>
      </c>
      <c r="C12" s="58">
        <v>80</v>
      </c>
      <c r="D12" s="58">
        <v>28</v>
      </c>
      <c r="E12" s="58">
        <v>18</v>
      </c>
      <c r="F12" s="58">
        <v>0</v>
      </c>
      <c r="G12" s="58">
        <v>0</v>
      </c>
      <c r="H12" s="58">
        <v>0</v>
      </c>
      <c r="I12" s="58">
        <v>0</v>
      </c>
      <c r="J12" s="58">
        <v>4387</v>
      </c>
      <c r="K12" s="58">
        <v>2889</v>
      </c>
      <c r="L12" s="58">
        <v>2840</v>
      </c>
      <c r="M12" s="58">
        <v>1658</v>
      </c>
      <c r="N12" s="58">
        <v>0</v>
      </c>
      <c r="O12" s="58">
        <v>0</v>
      </c>
      <c r="P12" s="58">
        <v>27</v>
      </c>
      <c r="Q12" s="58">
        <v>18</v>
      </c>
    </row>
    <row r="13" spans="1:17" ht="15.5" x14ac:dyDescent="0.35">
      <c r="A13" s="57" t="s">
        <v>60</v>
      </c>
      <c r="B13" s="58">
        <v>115</v>
      </c>
      <c r="C13" s="58">
        <v>65</v>
      </c>
      <c r="D13" s="58">
        <v>40</v>
      </c>
      <c r="E13" s="58">
        <v>19</v>
      </c>
      <c r="F13" s="58">
        <v>0</v>
      </c>
      <c r="G13" s="58">
        <v>0</v>
      </c>
      <c r="H13" s="58">
        <v>0</v>
      </c>
      <c r="I13" s="58">
        <v>0</v>
      </c>
      <c r="J13" s="58">
        <v>4604</v>
      </c>
      <c r="K13" s="58">
        <v>2852</v>
      </c>
      <c r="L13" s="58">
        <v>2906</v>
      </c>
      <c r="M13" s="58">
        <v>1551</v>
      </c>
      <c r="N13" s="58">
        <v>0</v>
      </c>
      <c r="O13" s="58">
        <v>0</v>
      </c>
      <c r="P13" s="58">
        <v>34</v>
      </c>
      <c r="Q13" s="58">
        <v>16</v>
      </c>
    </row>
    <row r="14" spans="1:17" ht="15.5" x14ac:dyDescent="0.35">
      <c r="A14" s="57" t="s">
        <v>61</v>
      </c>
      <c r="B14" s="58">
        <v>114</v>
      </c>
      <c r="C14" s="58">
        <v>78</v>
      </c>
      <c r="D14" s="58">
        <v>37</v>
      </c>
      <c r="E14" s="58">
        <v>20</v>
      </c>
      <c r="F14" s="58">
        <v>0</v>
      </c>
      <c r="G14" s="58">
        <v>0</v>
      </c>
      <c r="H14" s="58">
        <v>0</v>
      </c>
      <c r="I14" s="58">
        <v>0</v>
      </c>
      <c r="J14" s="58">
        <v>4627</v>
      </c>
      <c r="K14" s="58">
        <v>2828</v>
      </c>
      <c r="L14" s="58">
        <v>2920</v>
      </c>
      <c r="M14" s="58">
        <v>1595</v>
      </c>
      <c r="N14" s="58">
        <v>2</v>
      </c>
      <c r="O14" s="58">
        <v>2</v>
      </c>
      <c r="P14" s="58">
        <v>28</v>
      </c>
      <c r="Q14" s="58">
        <v>16</v>
      </c>
    </row>
    <row r="15" spans="1:17" ht="15.5" x14ac:dyDescent="0.35">
      <c r="A15" s="57" t="s">
        <v>62</v>
      </c>
      <c r="B15" s="58">
        <v>116</v>
      </c>
      <c r="C15" s="58">
        <v>62</v>
      </c>
      <c r="D15" s="58">
        <v>46</v>
      </c>
      <c r="E15" s="58">
        <v>25</v>
      </c>
      <c r="F15" s="58">
        <v>0</v>
      </c>
      <c r="G15" s="58">
        <v>0</v>
      </c>
      <c r="H15" s="58">
        <v>0</v>
      </c>
      <c r="I15" s="58">
        <v>0</v>
      </c>
      <c r="J15" s="58">
        <v>4637</v>
      </c>
      <c r="K15" s="58">
        <v>2778</v>
      </c>
      <c r="L15" s="58">
        <v>3064</v>
      </c>
      <c r="M15" s="58">
        <v>1612</v>
      </c>
      <c r="N15" s="58">
        <v>0</v>
      </c>
      <c r="O15" s="58">
        <v>0</v>
      </c>
      <c r="P15" s="58">
        <v>23</v>
      </c>
      <c r="Q15" s="58">
        <v>17</v>
      </c>
    </row>
    <row r="16" spans="1:17" ht="15.5" x14ac:dyDescent="0.35">
      <c r="A16" s="57" t="s">
        <v>63</v>
      </c>
      <c r="B16" s="58">
        <v>130</v>
      </c>
      <c r="C16" s="58">
        <v>82</v>
      </c>
      <c r="D16" s="58">
        <v>34</v>
      </c>
      <c r="E16" s="58">
        <v>13</v>
      </c>
      <c r="F16" s="58">
        <v>0</v>
      </c>
      <c r="G16" s="58">
        <v>0</v>
      </c>
      <c r="H16" s="58">
        <v>2</v>
      </c>
      <c r="I16" s="58">
        <v>2</v>
      </c>
      <c r="J16" s="58">
        <v>4549</v>
      </c>
      <c r="K16" s="58">
        <v>2740</v>
      </c>
      <c r="L16" s="58">
        <v>2954</v>
      </c>
      <c r="M16" s="58">
        <v>1482</v>
      </c>
      <c r="N16" s="58">
        <v>1</v>
      </c>
      <c r="O16" s="58">
        <v>0</v>
      </c>
      <c r="P16" s="58">
        <v>19</v>
      </c>
      <c r="Q16" s="58">
        <v>11</v>
      </c>
    </row>
    <row r="17" spans="1:17" ht="15.5" x14ac:dyDescent="0.35">
      <c r="A17" s="57" t="s">
        <v>64</v>
      </c>
      <c r="B17" s="58">
        <v>124</v>
      </c>
      <c r="C17" s="58">
        <v>77</v>
      </c>
      <c r="D17" s="58">
        <v>47</v>
      </c>
      <c r="E17" s="58">
        <v>25</v>
      </c>
      <c r="F17" s="58">
        <v>0</v>
      </c>
      <c r="G17" s="58">
        <v>0</v>
      </c>
      <c r="H17" s="58">
        <v>0</v>
      </c>
      <c r="I17" s="58">
        <v>0</v>
      </c>
      <c r="J17" s="58">
        <v>4499</v>
      </c>
      <c r="K17" s="58">
        <v>2580</v>
      </c>
      <c r="L17" s="58">
        <v>2990</v>
      </c>
      <c r="M17" s="58">
        <v>1478</v>
      </c>
      <c r="N17" s="58">
        <v>2</v>
      </c>
      <c r="O17" s="58">
        <v>1</v>
      </c>
      <c r="P17" s="58">
        <v>26</v>
      </c>
      <c r="Q17" s="58">
        <v>16</v>
      </c>
    </row>
    <row r="18" spans="1:17" ht="15.5" x14ac:dyDescent="0.35">
      <c r="A18" s="57" t="s">
        <v>65</v>
      </c>
      <c r="B18" s="58">
        <v>112</v>
      </c>
      <c r="C18" s="58">
        <v>62</v>
      </c>
      <c r="D18" s="58">
        <v>42</v>
      </c>
      <c r="E18" s="58">
        <v>21</v>
      </c>
      <c r="F18" s="58">
        <v>0</v>
      </c>
      <c r="G18" s="58">
        <v>0</v>
      </c>
      <c r="H18" s="58">
        <v>0</v>
      </c>
      <c r="I18" s="58">
        <v>0</v>
      </c>
      <c r="J18" s="58">
        <v>4638</v>
      </c>
      <c r="K18" s="58">
        <v>2667</v>
      </c>
      <c r="L18" s="58">
        <v>2938</v>
      </c>
      <c r="M18" s="58">
        <v>1443</v>
      </c>
      <c r="N18" s="58">
        <v>0</v>
      </c>
      <c r="O18" s="58">
        <v>0</v>
      </c>
      <c r="P18" s="58">
        <v>16</v>
      </c>
      <c r="Q18" s="58">
        <v>12</v>
      </c>
    </row>
    <row r="19" spans="1:17" ht="15.5" x14ac:dyDescent="0.35">
      <c r="A19" s="57" t="s">
        <v>66</v>
      </c>
      <c r="B19" s="58">
        <v>113</v>
      </c>
      <c r="C19" s="58">
        <v>59</v>
      </c>
      <c r="D19" s="58">
        <v>44</v>
      </c>
      <c r="E19" s="58">
        <v>24</v>
      </c>
      <c r="F19" s="58">
        <v>0</v>
      </c>
      <c r="G19" s="58">
        <v>0</v>
      </c>
      <c r="H19" s="58">
        <v>1</v>
      </c>
      <c r="I19" s="58">
        <v>1</v>
      </c>
      <c r="J19" s="58">
        <v>4627</v>
      </c>
      <c r="K19" s="58">
        <v>2613</v>
      </c>
      <c r="L19" s="58">
        <v>2880</v>
      </c>
      <c r="M19" s="58">
        <v>1370</v>
      </c>
      <c r="N19" s="58">
        <v>0</v>
      </c>
      <c r="O19" s="58">
        <v>0</v>
      </c>
      <c r="P19" s="58">
        <v>15</v>
      </c>
      <c r="Q19" s="58">
        <v>7</v>
      </c>
    </row>
    <row r="20" spans="1:17" ht="15.5" x14ac:dyDescent="0.35">
      <c r="A20" s="57" t="s">
        <v>67</v>
      </c>
      <c r="B20" s="58">
        <v>127</v>
      </c>
      <c r="C20" s="58">
        <v>73</v>
      </c>
      <c r="D20" s="58">
        <v>28</v>
      </c>
      <c r="E20" s="58">
        <v>17</v>
      </c>
      <c r="F20" s="58">
        <v>0</v>
      </c>
      <c r="G20" s="58">
        <v>0</v>
      </c>
      <c r="H20" s="58">
        <v>1</v>
      </c>
      <c r="I20" s="58">
        <v>1</v>
      </c>
      <c r="J20" s="58">
        <v>4496</v>
      </c>
      <c r="K20" s="58">
        <v>2478</v>
      </c>
      <c r="L20" s="58">
        <v>2797</v>
      </c>
      <c r="M20" s="58">
        <v>1317</v>
      </c>
      <c r="N20" s="58">
        <v>2</v>
      </c>
      <c r="O20" s="58">
        <v>0</v>
      </c>
      <c r="P20" s="58">
        <v>29</v>
      </c>
      <c r="Q20" s="58">
        <v>16</v>
      </c>
    </row>
    <row r="21" spans="1:17" ht="15.5" x14ac:dyDescent="0.35">
      <c r="A21" s="57" t="s">
        <v>68</v>
      </c>
      <c r="B21" s="58">
        <v>101</v>
      </c>
      <c r="C21" s="58">
        <v>61</v>
      </c>
      <c r="D21" s="58">
        <v>40</v>
      </c>
      <c r="E21" s="58">
        <v>22</v>
      </c>
      <c r="F21" s="58">
        <v>1</v>
      </c>
      <c r="G21" s="58">
        <v>0</v>
      </c>
      <c r="H21" s="58">
        <v>0</v>
      </c>
      <c r="I21" s="58">
        <v>0</v>
      </c>
      <c r="J21" s="58">
        <v>4419</v>
      </c>
      <c r="K21" s="58">
        <v>2434</v>
      </c>
      <c r="L21" s="58">
        <v>2732</v>
      </c>
      <c r="M21" s="58">
        <v>1248</v>
      </c>
      <c r="N21" s="58">
        <v>0</v>
      </c>
      <c r="O21" s="58">
        <v>0</v>
      </c>
      <c r="P21" s="58">
        <v>25</v>
      </c>
      <c r="Q21" s="58">
        <v>11</v>
      </c>
    </row>
    <row r="22" spans="1:17" ht="15.5" x14ac:dyDescent="0.35">
      <c r="A22" s="57" t="s">
        <v>69</v>
      </c>
      <c r="B22" s="58">
        <v>138</v>
      </c>
      <c r="C22" s="58">
        <v>76</v>
      </c>
      <c r="D22" s="58">
        <v>45</v>
      </c>
      <c r="E22" s="58">
        <v>25</v>
      </c>
      <c r="F22" s="58">
        <v>0</v>
      </c>
      <c r="G22" s="58">
        <v>0</v>
      </c>
      <c r="H22" s="58">
        <v>0</v>
      </c>
      <c r="I22" s="58">
        <v>0</v>
      </c>
      <c r="J22" s="58">
        <v>4432</v>
      </c>
      <c r="K22" s="58">
        <v>2362</v>
      </c>
      <c r="L22" s="58">
        <v>2828</v>
      </c>
      <c r="M22" s="58">
        <v>1309</v>
      </c>
      <c r="N22" s="58">
        <v>0</v>
      </c>
      <c r="O22" s="58">
        <v>0</v>
      </c>
      <c r="P22" s="58">
        <v>17</v>
      </c>
      <c r="Q22" s="58">
        <v>6</v>
      </c>
    </row>
    <row r="23" spans="1:17" ht="15.5" x14ac:dyDescent="0.35">
      <c r="A23" s="57" t="s">
        <v>70</v>
      </c>
      <c r="B23" s="58">
        <v>112</v>
      </c>
      <c r="C23" s="58">
        <v>65</v>
      </c>
      <c r="D23" s="58">
        <v>34</v>
      </c>
      <c r="E23" s="58">
        <v>15</v>
      </c>
      <c r="F23" s="58">
        <v>0</v>
      </c>
      <c r="G23" s="58">
        <v>0</v>
      </c>
      <c r="H23" s="58">
        <v>0</v>
      </c>
      <c r="I23" s="58">
        <v>0</v>
      </c>
      <c r="J23" s="58">
        <v>4316</v>
      </c>
      <c r="K23" s="58">
        <v>2316</v>
      </c>
      <c r="L23" s="58">
        <v>2701</v>
      </c>
      <c r="M23" s="58">
        <v>1217</v>
      </c>
      <c r="N23" s="58">
        <v>0</v>
      </c>
      <c r="O23" s="58">
        <v>0</v>
      </c>
      <c r="P23" s="58">
        <v>19</v>
      </c>
      <c r="Q23" s="58">
        <v>11</v>
      </c>
    </row>
    <row r="24" spans="1:17" ht="15.5" x14ac:dyDescent="0.35">
      <c r="A24" s="57" t="s">
        <v>71</v>
      </c>
      <c r="B24" s="58">
        <v>119</v>
      </c>
      <c r="C24" s="58">
        <v>67</v>
      </c>
      <c r="D24" s="58">
        <v>28</v>
      </c>
      <c r="E24" s="58">
        <v>11</v>
      </c>
      <c r="F24" s="58">
        <v>0</v>
      </c>
      <c r="G24" s="58">
        <v>0</v>
      </c>
      <c r="H24" s="58">
        <v>0</v>
      </c>
      <c r="I24" s="58">
        <v>0</v>
      </c>
      <c r="J24" s="58">
        <v>4194</v>
      </c>
      <c r="K24" s="58">
        <v>2174</v>
      </c>
      <c r="L24" s="58">
        <v>2628</v>
      </c>
      <c r="M24" s="58">
        <v>1093</v>
      </c>
      <c r="N24" s="58">
        <v>1</v>
      </c>
      <c r="O24" s="58">
        <v>0</v>
      </c>
      <c r="P24" s="58">
        <v>14</v>
      </c>
      <c r="Q24" s="58">
        <v>8</v>
      </c>
    </row>
    <row r="25" spans="1:17" ht="15.5" x14ac:dyDescent="0.35">
      <c r="A25" s="57" t="s">
        <v>72</v>
      </c>
      <c r="B25" s="58">
        <v>92</v>
      </c>
      <c r="C25" s="58">
        <v>54</v>
      </c>
      <c r="D25" s="58">
        <v>34</v>
      </c>
      <c r="E25" s="58">
        <v>13</v>
      </c>
      <c r="F25" s="58">
        <v>0</v>
      </c>
      <c r="G25" s="58">
        <v>0</v>
      </c>
      <c r="H25" s="58">
        <v>0</v>
      </c>
      <c r="I25" s="58">
        <v>0</v>
      </c>
      <c r="J25" s="58">
        <v>3937</v>
      </c>
      <c r="K25" s="58">
        <v>1985</v>
      </c>
      <c r="L25" s="58">
        <v>2501</v>
      </c>
      <c r="M25" s="58">
        <v>1085</v>
      </c>
      <c r="N25" s="58">
        <v>0</v>
      </c>
      <c r="O25" s="58">
        <v>0</v>
      </c>
      <c r="P25" s="58">
        <v>14</v>
      </c>
      <c r="Q25" s="58">
        <v>6</v>
      </c>
    </row>
    <row r="26" spans="1:17" ht="15.5" x14ac:dyDescent="0.35">
      <c r="A26" s="57" t="s">
        <v>73</v>
      </c>
      <c r="B26" s="58">
        <v>108</v>
      </c>
      <c r="C26" s="58">
        <v>60</v>
      </c>
      <c r="D26" s="58">
        <v>26</v>
      </c>
      <c r="E26" s="58">
        <v>6</v>
      </c>
      <c r="F26" s="58">
        <v>0</v>
      </c>
      <c r="G26" s="58">
        <v>0</v>
      </c>
      <c r="H26" s="58">
        <v>0</v>
      </c>
      <c r="I26" s="58">
        <v>0</v>
      </c>
      <c r="J26" s="58">
        <v>3835</v>
      </c>
      <c r="K26" s="58">
        <v>1844</v>
      </c>
      <c r="L26" s="58">
        <v>2338</v>
      </c>
      <c r="M26" s="58">
        <v>996</v>
      </c>
      <c r="N26" s="58">
        <v>0</v>
      </c>
      <c r="O26" s="58">
        <v>0</v>
      </c>
      <c r="P26" s="58">
        <v>21</v>
      </c>
      <c r="Q26" s="58">
        <v>10</v>
      </c>
    </row>
    <row r="27" spans="1:17" ht="15.5" x14ac:dyDescent="0.35">
      <c r="A27" s="57" t="s">
        <v>74</v>
      </c>
      <c r="B27" s="58">
        <v>108</v>
      </c>
      <c r="C27" s="58">
        <v>61</v>
      </c>
      <c r="D27" s="58">
        <v>36</v>
      </c>
      <c r="E27" s="58">
        <v>15</v>
      </c>
      <c r="F27" s="58">
        <v>0</v>
      </c>
      <c r="G27" s="58">
        <v>0</v>
      </c>
      <c r="H27" s="58">
        <v>0</v>
      </c>
      <c r="I27" s="58">
        <v>0</v>
      </c>
      <c r="J27" s="58">
        <v>3704</v>
      </c>
      <c r="K27" s="58">
        <v>1731</v>
      </c>
      <c r="L27" s="58">
        <v>2209</v>
      </c>
      <c r="M27" s="58">
        <v>933</v>
      </c>
      <c r="N27" s="58">
        <v>1</v>
      </c>
      <c r="O27" s="58">
        <v>0</v>
      </c>
      <c r="P27" s="58">
        <v>13</v>
      </c>
      <c r="Q27" s="58">
        <v>6</v>
      </c>
    </row>
    <row r="28" spans="1:17" ht="15.5" x14ac:dyDescent="0.35">
      <c r="A28" s="57" t="s">
        <v>75</v>
      </c>
      <c r="B28" s="58">
        <v>101</v>
      </c>
      <c r="C28" s="58">
        <v>49</v>
      </c>
      <c r="D28" s="58">
        <v>27</v>
      </c>
      <c r="E28" s="58">
        <v>8</v>
      </c>
      <c r="F28" s="58">
        <v>0</v>
      </c>
      <c r="G28" s="58">
        <v>0</v>
      </c>
      <c r="H28" s="58">
        <v>0</v>
      </c>
      <c r="I28" s="58">
        <v>0</v>
      </c>
      <c r="J28" s="58">
        <v>3562</v>
      </c>
      <c r="K28" s="58">
        <v>1733</v>
      </c>
      <c r="L28" s="58">
        <v>2181</v>
      </c>
      <c r="M28" s="58">
        <v>889</v>
      </c>
      <c r="N28" s="58">
        <v>0</v>
      </c>
      <c r="O28" s="58">
        <v>0</v>
      </c>
      <c r="P28" s="58">
        <v>23</v>
      </c>
      <c r="Q28" s="58">
        <v>10</v>
      </c>
    </row>
    <row r="29" spans="1:17" ht="15.5" x14ac:dyDescent="0.35">
      <c r="A29" s="57" t="s">
        <v>76</v>
      </c>
      <c r="B29" s="58">
        <v>89</v>
      </c>
      <c r="C29" s="58">
        <v>49</v>
      </c>
      <c r="D29" s="58">
        <v>35</v>
      </c>
      <c r="E29" s="58">
        <v>16</v>
      </c>
      <c r="F29" s="58">
        <v>0</v>
      </c>
      <c r="G29" s="58">
        <v>0</v>
      </c>
      <c r="H29" s="58">
        <v>0</v>
      </c>
      <c r="I29" s="58">
        <v>0</v>
      </c>
      <c r="J29" s="58">
        <v>3282</v>
      </c>
      <c r="K29" s="58">
        <v>1488</v>
      </c>
      <c r="L29" s="58">
        <v>2120</v>
      </c>
      <c r="M29" s="58">
        <v>802</v>
      </c>
      <c r="N29" s="58">
        <v>0</v>
      </c>
      <c r="O29" s="58">
        <v>0</v>
      </c>
      <c r="P29" s="58">
        <v>20</v>
      </c>
      <c r="Q29" s="58">
        <v>9</v>
      </c>
    </row>
    <row r="30" spans="1:17" ht="15.5" x14ac:dyDescent="0.35">
      <c r="A30" s="57" t="s">
        <v>77</v>
      </c>
      <c r="B30" s="58">
        <v>89</v>
      </c>
      <c r="C30" s="58">
        <v>51</v>
      </c>
      <c r="D30" s="58">
        <v>26</v>
      </c>
      <c r="E30" s="58">
        <v>10</v>
      </c>
      <c r="F30" s="58">
        <v>0</v>
      </c>
      <c r="G30" s="58">
        <v>0</v>
      </c>
      <c r="H30" s="58">
        <v>0</v>
      </c>
      <c r="I30" s="58">
        <v>0</v>
      </c>
      <c r="J30" s="58">
        <v>3149</v>
      </c>
      <c r="K30" s="58">
        <v>1461</v>
      </c>
      <c r="L30" s="58">
        <v>2073</v>
      </c>
      <c r="M30" s="58">
        <v>807</v>
      </c>
      <c r="N30" s="58">
        <v>1</v>
      </c>
      <c r="O30" s="58">
        <v>1</v>
      </c>
      <c r="P30" s="58">
        <v>14</v>
      </c>
      <c r="Q30" s="58">
        <v>8</v>
      </c>
    </row>
    <row r="31" spans="1:17" ht="15.5" x14ac:dyDescent="0.35">
      <c r="A31" s="57" t="s">
        <v>78</v>
      </c>
      <c r="B31" s="58">
        <v>95</v>
      </c>
      <c r="C31" s="58">
        <v>46</v>
      </c>
      <c r="D31" s="58">
        <v>36</v>
      </c>
      <c r="E31" s="58">
        <v>12</v>
      </c>
      <c r="F31" s="58">
        <v>0</v>
      </c>
      <c r="G31" s="58">
        <v>0</v>
      </c>
      <c r="H31" s="58">
        <v>0</v>
      </c>
      <c r="I31" s="58">
        <v>0</v>
      </c>
      <c r="J31" s="58">
        <v>3142</v>
      </c>
      <c r="K31" s="58">
        <v>1468</v>
      </c>
      <c r="L31" s="58">
        <v>2064</v>
      </c>
      <c r="M31" s="58">
        <v>825</v>
      </c>
      <c r="N31" s="58">
        <v>0</v>
      </c>
      <c r="O31" s="58">
        <v>0</v>
      </c>
      <c r="P31" s="58">
        <v>11</v>
      </c>
      <c r="Q31" s="58">
        <v>7</v>
      </c>
    </row>
    <row r="32" spans="1:17" ht="15.5" x14ac:dyDescent="0.35">
      <c r="A32" s="57" t="s">
        <v>79</v>
      </c>
      <c r="B32" s="58">
        <v>92</v>
      </c>
      <c r="C32" s="58">
        <v>47</v>
      </c>
      <c r="D32" s="58">
        <v>20</v>
      </c>
      <c r="E32" s="58">
        <v>8</v>
      </c>
      <c r="F32" s="58">
        <v>0</v>
      </c>
      <c r="G32" s="58">
        <v>0</v>
      </c>
      <c r="H32" s="58">
        <v>0</v>
      </c>
      <c r="I32" s="58">
        <v>0</v>
      </c>
      <c r="J32" s="58">
        <v>3130</v>
      </c>
      <c r="K32" s="58">
        <v>1403</v>
      </c>
      <c r="L32" s="58">
        <v>2064</v>
      </c>
      <c r="M32" s="58">
        <v>774</v>
      </c>
      <c r="N32" s="58">
        <v>0</v>
      </c>
      <c r="O32" s="58">
        <v>0</v>
      </c>
      <c r="P32" s="58">
        <v>20</v>
      </c>
      <c r="Q32" s="58">
        <v>7</v>
      </c>
    </row>
    <row r="33" spans="1:17" ht="15.5" x14ac:dyDescent="0.35">
      <c r="A33" s="57" t="s">
        <v>80</v>
      </c>
      <c r="B33" s="58">
        <v>70</v>
      </c>
      <c r="C33" s="58">
        <v>39</v>
      </c>
      <c r="D33" s="58">
        <v>29</v>
      </c>
      <c r="E33" s="58">
        <v>10</v>
      </c>
      <c r="F33" s="58">
        <v>0</v>
      </c>
      <c r="G33" s="58">
        <v>0</v>
      </c>
      <c r="H33" s="58">
        <v>0</v>
      </c>
      <c r="I33" s="58">
        <v>0</v>
      </c>
      <c r="J33" s="58">
        <v>3092</v>
      </c>
      <c r="K33" s="58">
        <v>1388</v>
      </c>
      <c r="L33" s="58">
        <v>1869</v>
      </c>
      <c r="M33" s="58">
        <v>662</v>
      </c>
      <c r="N33" s="58">
        <v>0</v>
      </c>
      <c r="O33" s="58">
        <v>0</v>
      </c>
      <c r="P33" s="58">
        <v>13</v>
      </c>
      <c r="Q33" s="58">
        <v>3</v>
      </c>
    </row>
    <row r="34" spans="1:17" ht="15.5" x14ac:dyDescent="0.35">
      <c r="A34" s="57" t="s">
        <v>81</v>
      </c>
      <c r="B34" s="58">
        <v>73</v>
      </c>
      <c r="C34" s="58">
        <v>36</v>
      </c>
      <c r="D34" s="58">
        <v>28</v>
      </c>
      <c r="E34" s="58">
        <v>6</v>
      </c>
      <c r="F34" s="58">
        <v>0</v>
      </c>
      <c r="G34" s="58">
        <v>0</v>
      </c>
      <c r="H34" s="58">
        <v>0</v>
      </c>
      <c r="I34" s="58">
        <v>0</v>
      </c>
      <c r="J34" s="58">
        <v>2988</v>
      </c>
      <c r="K34" s="58">
        <v>1366</v>
      </c>
      <c r="L34" s="58">
        <v>1890</v>
      </c>
      <c r="M34" s="58">
        <v>712</v>
      </c>
      <c r="N34" s="58">
        <v>0</v>
      </c>
      <c r="O34" s="58">
        <v>0</v>
      </c>
      <c r="P34" s="58">
        <v>12</v>
      </c>
      <c r="Q34" s="58">
        <v>4</v>
      </c>
    </row>
    <row r="35" spans="1:17" ht="15.5" x14ac:dyDescent="0.35">
      <c r="A35" s="57" t="s">
        <v>82</v>
      </c>
      <c r="B35" s="58">
        <v>62</v>
      </c>
      <c r="C35" s="58">
        <v>36</v>
      </c>
      <c r="D35" s="58">
        <v>19</v>
      </c>
      <c r="E35" s="58">
        <v>6</v>
      </c>
      <c r="F35" s="58">
        <v>0</v>
      </c>
      <c r="G35" s="58">
        <v>0</v>
      </c>
      <c r="H35" s="58">
        <v>0</v>
      </c>
      <c r="I35" s="58">
        <v>0</v>
      </c>
      <c r="J35" s="58">
        <v>2834</v>
      </c>
      <c r="K35" s="58">
        <v>1229</v>
      </c>
      <c r="L35" s="58">
        <v>1792</v>
      </c>
      <c r="M35" s="58">
        <v>640</v>
      </c>
      <c r="N35" s="58">
        <v>0</v>
      </c>
      <c r="O35" s="58">
        <v>0</v>
      </c>
      <c r="P35" s="58">
        <v>17</v>
      </c>
      <c r="Q35" s="58">
        <v>8</v>
      </c>
    </row>
    <row r="36" spans="1:17" ht="15.5" x14ac:dyDescent="0.35">
      <c r="A36" s="57" t="s">
        <v>83</v>
      </c>
      <c r="B36" s="58">
        <v>65</v>
      </c>
      <c r="C36" s="58">
        <v>34</v>
      </c>
      <c r="D36" s="58">
        <v>30</v>
      </c>
      <c r="E36" s="58">
        <v>10</v>
      </c>
      <c r="F36" s="58">
        <v>0</v>
      </c>
      <c r="G36" s="58">
        <v>0</v>
      </c>
      <c r="H36" s="58">
        <v>0</v>
      </c>
      <c r="I36" s="58">
        <v>0</v>
      </c>
      <c r="J36" s="58">
        <v>2744</v>
      </c>
      <c r="K36" s="58">
        <v>1156</v>
      </c>
      <c r="L36" s="58">
        <v>1704</v>
      </c>
      <c r="M36" s="58">
        <v>609</v>
      </c>
      <c r="N36" s="58">
        <v>0</v>
      </c>
      <c r="O36" s="58">
        <v>0</v>
      </c>
      <c r="P36" s="58">
        <v>12</v>
      </c>
      <c r="Q36" s="58">
        <v>3</v>
      </c>
    </row>
    <row r="37" spans="1:17" ht="15.5" x14ac:dyDescent="0.35">
      <c r="A37" s="57" t="s">
        <v>84</v>
      </c>
      <c r="B37" s="58">
        <v>66</v>
      </c>
      <c r="C37" s="58">
        <v>36</v>
      </c>
      <c r="D37" s="58">
        <v>22</v>
      </c>
      <c r="E37" s="58">
        <v>4</v>
      </c>
      <c r="F37" s="58">
        <v>0</v>
      </c>
      <c r="G37" s="58">
        <v>0</v>
      </c>
      <c r="H37" s="58">
        <v>0</v>
      </c>
      <c r="I37" s="58">
        <v>0</v>
      </c>
      <c r="J37" s="58">
        <v>2558</v>
      </c>
      <c r="K37" s="58">
        <v>1077</v>
      </c>
      <c r="L37" s="58">
        <v>1692</v>
      </c>
      <c r="M37" s="58">
        <v>579</v>
      </c>
      <c r="N37" s="58">
        <v>0</v>
      </c>
      <c r="O37" s="58">
        <v>0</v>
      </c>
      <c r="P37" s="58">
        <v>9</v>
      </c>
      <c r="Q37" s="58">
        <v>4</v>
      </c>
    </row>
    <row r="38" spans="1:17" ht="15.5" x14ac:dyDescent="0.35">
      <c r="A38" s="57" t="s">
        <v>85</v>
      </c>
      <c r="B38" s="58">
        <v>54</v>
      </c>
      <c r="C38" s="58">
        <v>24</v>
      </c>
      <c r="D38" s="58">
        <v>26</v>
      </c>
      <c r="E38" s="58">
        <v>9</v>
      </c>
      <c r="F38" s="58">
        <v>0</v>
      </c>
      <c r="G38" s="58">
        <v>0</v>
      </c>
      <c r="H38" s="58">
        <v>0</v>
      </c>
      <c r="I38" s="58">
        <v>0</v>
      </c>
      <c r="J38" s="58">
        <v>2509</v>
      </c>
      <c r="K38" s="58">
        <v>1038</v>
      </c>
      <c r="L38" s="58">
        <v>1597</v>
      </c>
      <c r="M38" s="58">
        <v>531</v>
      </c>
      <c r="N38" s="58">
        <v>0</v>
      </c>
      <c r="O38" s="58">
        <v>0</v>
      </c>
      <c r="P38" s="58">
        <v>12</v>
      </c>
      <c r="Q38" s="58">
        <v>7</v>
      </c>
    </row>
    <row r="39" spans="1:17" ht="15.5" x14ac:dyDescent="0.35">
      <c r="A39" s="57" t="s">
        <v>86</v>
      </c>
      <c r="B39" s="58">
        <v>67</v>
      </c>
      <c r="C39" s="58">
        <v>28</v>
      </c>
      <c r="D39" s="58">
        <v>13</v>
      </c>
      <c r="E39" s="58">
        <v>6</v>
      </c>
      <c r="F39" s="58">
        <v>0</v>
      </c>
      <c r="G39" s="58">
        <v>0</v>
      </c>
      <c r="H39" s="58">
        <v>0</v>
      </c>
      <c r="I39" s="58">
        <v>0</v>
      </c>
      <c r="J39" s="58">
        <v>2391</v>
      </c>
      <c r="K39" s="58">
        <v>977</v>
      </c>
      <c r="L39" s="58">
        <v>1579</v>
      </c>
      <c r="M39" s="58">
        <v>501</v>
      </c>
      <c r="N39" s="58">
        <v>0</v>
      </c>
      <c r="O39" s="58">
        <v>0</v>
      </c>
      <c r="P39" s="58">
        <v>12</v>
      </c>
      <c r="Q39" s="58">
        <v>4</v>
      </c>
    </row>
    <row r="40" spans="1:17" ht="15.5" x14ac:dyDescent="0.35">
      <c r="A40" s="57" t="s">
        <v>87</v>
      </c>
      <c r="B40" s="58">
        <v>65</v>
      </c>
      <c r="C40" s="58">
        <v>31</v>
      </c>
      <c r="D40" s="58">
        <v>21</v>
      </c>
      <c r="E40" s="58">
        <v>9</v>
      </c>
      <c r="F40" s="58">
        <v>0</v>
      </c>
      <c r="G40" s="58">
        <v>0</v>
      </c>
      <c r="H40" s="58">
        <v>0</v>
      </c>
      <c r="I40" s="58">
        <v>0</v>
      </c>
      <c r="J40" s="58">
        <v>2384</v>
      </c>
      <c r="K40" s="58">
        <v>973</v>
      </c>
      <c r="L40" s="58">
        <v>1569</v>
      </c>
      <c r="M40" s="58">
        <v>571</v>
      </c>
      <c r="N40" s="58">
        <v>0</v>
      </c>
      <c r="O40" s="58">
        <v>0</v>
      </c>
      <c r="P40" s="58">
        <v>19</v>
      </c>
      <c r="Q40" s="58">
        <v>7</v>
      </c>
    </row>
    <row r="41" spans="1:17" ht="15.5" x14ac:dyDescent="0.35">
      <c r="A41" s="57" t="s">
        <v>88</v>
      </c>
      <c r="B41" s="58">
        <v>67</v>
      </c>
      <c r="C41" s="58">
        <v>30</v>
      </c>
      <c r="D41" s="58">
        <v>18</v>
      </c>
      <c r="E41" s="58">
        <v>4</v>
      </c>
      <c r="F41" s="58">
        <v>0</v>
      </c>
      <c r="G41" s="58">
        <v>0</v>
      </c>
      <c r="H41" s="58">
        <v>0</v>
      </c>
      <c r="I41" s="58">
        <v>0</v>
      </c>
      <c r="J41" s="58">
        <v>2398</v>
      </c>
      <c r="K41" s="58">
        <v>965</v>
      </c>
      <c r="L41" s="58">
        <v>1532</v>
      </c>
      <c r="M41" s="58">
        <v>525</v>
      </c>
      <c r="N41" s="58">
        <v>1</v>
      </c>
      <c r="O41" s="58">
        <v>0</v>
      </c>
      <c r="P41" s="58">
        <v>16</v>
      </c>
      <c r="Q41" s="58">
        <v>8</v>
      </c>
    </row>
    <row r="42" spans="1:17" ht="15.5" x14ac:dyDescent="0.35">
      <c r="A42" s="57" t="s">
        <v>89</v>
      </c>
      <c r="B42" s="58">
        <v>62</v>
      </c>
      <c r="C42" s="58">
        <v>28</v>
      </c>
      <c r="D42" s="58">
        <v>17</v>
      </c>
      <c r="E42" s="58">
        <v>4</v>
      </c>
      <c r="F42" s="58">
        <v>0</v>
      </c>
      <c r="G42" s="58">
        <v>0</v>
      </c>
      <c r="H42" s="58">
        <v>0</v>
      </c>
      <c r="I42" s="58">
        <v>0</v>
      </c>
      <c r="J42" s="58">
        <v>2469</v>
      </c>
      <c r="K42" s="58">
        <v>981</v>
      </c>
      <c r="L42" s="58">
        <v>1583</v>
      </c>
      <c r="M42" s="58">
        <v>514</v>
      </c>
      <c r="N42" s="58">
        <v>0</v>
      </c>
      <c r="O42" s="58">
        <v>0</v>
      </c>
      <c r="P42" s="58">
        <v>4</v>
      </c>
      <c r="Q42" s="58">
        <v>2</v>
      </c>
    </row>
    <row r="43" spans="1:17" ht="15.5" x14ac:dyDescent="0.35">
      <c r="A43" s="57" t="s">
        <v>90</v>
      </c>
      <c r="B43" s="58">
        <v>89</v>
      </c>
      <c r="C43" s="58">
        <v>35</v>
      </c>
      <c r="D43" s="58">
        <v>30</v>
      </c>
      <c r="E43" s="58">
        <v>6</v>
      </c>
      <c r="F43" s="58">
        <v>0</v>
      </c>
      <c r="G43" s="58">
        <v>0</v>
      </c>
      <c r="H43" s="58">
        <v>0</v>
      </c>
      <c r="I43" s="58">
        <v>0</v>
      </c>
      <c r="J43" s="58">
        <v>2559</v>
      </c>
      <c r="K43" s="58">
        <v>1022</v>
      </c>
      <c r="L43" s="58">
        <v>1627</v>
      </c>
      <c r="M43" s="58">
        <v>528</v>
      </c>
      <c r="N43" s="58">
        <v>1</v>
      </c>
      <c r="O43" s="58">
        <v>0</v>
      </c>
      <c r="P43" s="58">
        <v>17</v>
      </c>
      <c r="Q43" s="58">
        <v>3</v>
      </c>
    </row>
    <row r="44" spans="1:17" ht="15.5" x14ac:dyDescent="0.35">
      <c r="A44" s="57" t="s">
        <v>91</v>
      </c>
      <c r="B44" s="58">
        <v>76</v>
      </c>
      <c r="C44" s="58">
        <v>41</v>
      </c>
      <c r="D44" s="58">
        <v>22</v>
      </c>
      <c r="E44" s="58">
        <v>6</v>
      </c>
      <c r="F44" s="58">
        <v>0</v>
      </c>
      <c r="G44" s="58">
        <v>0</v>
      </c>
      <c r="H44" s="58">
        <v>0</v>
      </c>
      <c r="I44" s="58">
        <v>0</v>
      </c>
      <c r="J44" s="58">
        <v>2470</v>
      </c>
      <c r="K44" s="58">
        <v>985</v>
      </c>
      <c r="L44" s="58">
        <v>1544</v>
      </c>
      <c r="M44" s="58">
        <v>529</v>
      </c>
      <c r="N44" s="58">
        <v>0</v>
      </c>
      <c r="O44" s="58">
        <v>0</v>
      </c>
      <c r="P44" s="58">
        <v>16</v>
      </c>
      <c r="Q44" s="58">
        <v>6</v>
      </c>
    </row>
    <row r="45" spans="1:17" ht="15.5" x14ac:dyDescent="0.35">
      <c r="A45" s="57" t="s">
        <v>92</v>
      </c>
      <c r="B45" s="58">
        <v>89</v>
      </c>
      <c r="C45" s="58">
        <v>39</v>
      </c>
      <c r="D45" s="58">
        <v>17</v>
      </c>
      <c r="E45" s="58">
        <v>6</v>
      </c>
      <c r="F45" s="58">
        <v>0</v>
      </c>
      <c r="G45" s="58">
        <v>0</v>
      </c>
      <c r="H45" s="58">
        <v>0</v>
      </c>
      <c r="I45" s="58">
        <v>0</v>
      </c>
      <c r="J45" s="58">
        <v>2397</v>
      </c>
      <c r="K45" s="58">
        <v>910</v>
      </c>
      <c r="L45" s="58">
        <v>1406</v>
      </c>
      <c r="M45" s="58">
        <v>485</v>
      </c>
      <c r="N45" s="58">
        <v>0</v>
      </c>
      <c r="O45" s="58">
        <v>0</v>
      </c>
      <c r="P45" s="58">
        <v>15</v>
      </c>
      <c r="Q45" s="58">
        <v>5</v>
      </c>
    </row>
    <row r="46" spans="1:17" ht="15.5" x14ac:dyDescent="0.35">
      <c r="A46" s="57" t="s">
        <v>93</v>
      </c>
      <c r="B46" s="58">
        <v>67</v>
      </c>
      <c r="C46" s="58">
        <v>33</v>
      </c>
      <c r="D46" s="58">
        <v>24</v>
      </c>
      <c r="E46" s="58">
        <v>13</v>
      </c>
      <c r="F46" s="58">
        <v>0</v>
      </c>
      <c r="G46" s="58">
        <v>0</v>
      </c>
      <c r="H46" s="58">
        <v>1</v>
      </c>
      <c r="I46" s="58">
        <v>1</v>
      </c>
      <c r="J46" s="58">
        <v>2356</v>
      </c>
      <c r="K46" s="58">
        <v>934</v>
      </c>
      <c r="L46" s="58">
        <v>1429</v>
      </c>
      <c r="M46" s="58">
        <v>473</v>
      </c>
      <c r="N46" s="58">
        <v>0</v>
      </c>
      <c r="O46" s="58">
        <v>0</v>
      </c>
      <c r="P46" s="58">
        <v>13</v>
      </c>
      <c r="Q46" s="58">
        <v>5</v>
      </c>
    </row>
    <row r="47" spans="1:17" ht="15.5" x14ac:dyDescent="0.35">
      <c r="A47" s="57" t="s">
        <v>94</v>
      </c>
      <c r="B47" s="58">
        <v>69</v>
      </c>
      <c r="C47" s="58">
        <v>32</v>
      </c>
      <c r="D47" s="58">
        <v>17</v>
      </c>
      <c r="E47" s="58">
        <v>3</v>
      </c>
      <c r="F47" s="58">
        <v>0</v>
      </c>
      <c r="G47" s="58">
        <v>0</v>
      </c>
      <c r="H47" s="58">
        <v>0</v>
      </c>
      <c r="I47" s="58">
        <v>0</v>
      </c>
      <c r="J47" s="58">
        <v>2401</v>
      </c>
      <c r="K47" s="58">
        <v>931</v>
      </c>
      <c r="L47" s="58">
        <v>1329</v>
      </c>
      <c r="M47" s="58">
        <v>471</v>
      </c>
      <c r="N47" s="58">
        <v>0</v>
      </c>
      <c r="O47" s="58">
        <v>0</v>
      </c>
      <c r="P47" s="58">
        <v>10</v>
      </c>
      <c r="Q47" s="58">
        <v>5</v>
      </c>
    </row>
    <row r="48" spans="1:17" ht="15.5" x14ac:dyDescent="0.35">
      <c r="A48" s="57" t="s">
        <v>95</v>
      </c>
      <c r="B48" s="58">
        <v>73</v>
      </c>
      <c r="C48" s="58">
        <v>29</v>
      </c>
      <c r="D48" s="58">
        <v>14</v>
      </c>
      <c r="E48" s="58">
        <v>6</v>
      </c>
      <c r="F48" s="58">
        <v>0</v>
      </c>
      <c r="G48" s="58">
        <v>0</v>
      </c>
      <c r="H48" s="58">
        <v>0</v>
      </c>
      <c r="I48" s="58">
        <v>0</v>
      </c>
      <c r="J48" s="58">
        <v>2335</v>
      </c>
      <c r="K48" s="58">
        <v>927</v>
      </c>
      <c r="L48" s="58">
        <v>1304</v>
      </c>
      <c r="M48" s="58">
        <v>448</v>
      </c>
      <c r="N48" s="58">
        <v>0</v>
      </c>
      <c r="O48" s="58">
        <v>0</v>
      </c>
      <c r="P48" s="58">
        <v>6</v>
      </c>
      <c r="Q48" s="58">
        <v>2</v>
      </c>
    </row>
    <row r="49" spans="1:17" ht="15.5" x14ac:dyDescent="0.35">
      <c r="A49" s="57" t="s">
        <v>96</v>
      </c>
      <c r="B49" s="58">
        <v>69</v>
      </c>
      <c r="C49" s="58">
        <v>27</v>
      </c>
      <c r="D49" s="58">
        <v>21</v>
      </c>
      <c r="E49" s="58">
        <v>9</v>
      </c>
      <c r="F49" s="58">
        <v>0</v>
      </c>
      <c r="G49" s="58">
        <v>0</v>
      </c>
      <c r="H49" s="58">
        <v>0</v>
      </c>
      <c r="I49" s="58">
        <v>0</v>
      </c>
      <c r="J49" s="58">
        <v>2291</v>
      </c>
      <c r="K49" s="58">
        <v>892</v>
      </c>
      <c r="L49" s="58">
        <v>1342</v>
      </c>
      <c r="M49" s="58">
        <v>462</v>
      </c>
      <c r="N49" s="58">
        <v>0</v>
      </c>
      <c r="O49" s="58">
        <v>0</v>
      </c>
      <c r="P49" s="58">
        <v>11</v>
      </c>
      <c r="Q49" s="58">
        <v>5</v>
      </c>
    </row>
    <row r="50" spans="1:17" ht="15.5" x14ac:dyDescent="0.35">
      <c r="A50" s="57" t="s">
        <v>97</v>
      </c>
      <c r="B50" s="58">
        <v>71</v>
      </c>
      <c r="C50" s="58">
        <v>27</v>
      </c>
      <c r="D50" s="58">
        <v>16</v>
      </c>
      <c r="E50" s="58">
        <v>3</v>
      </c>
      <c r="F50" s="58">
        <v>0</v>
      </c>
      <c r="G50" s="58">
        <v>0</v>
      </c>
      <c r="H50" s="58">
        <v>0</v>
      </c>
      <c r="I50" s="58">
        <v>0</v>
      </c>
      <c r="J50" s="58">
        <v>2285</v>
      </c>
      <c r="K50" s="58">
        <v>913</v>
      </c>
      <c r="L50" s="58">
        <v>1360</v>
      </c>
      <c r="M50" s="58">
        <v>492</v>
      </c>
      <c r="N50" s="58">
        <v>0</v>
      </c>
      <c r="O50" s="58">
        <v>0</v>
      </c>
      <c r="P50" s="58">
        <v>11</v>
      </c>
      <c r="Q50" s="58">
        <v>8</v>
      </c>
    </row>
    <row r="51" spans="1:17" ht="15.5" x14ac:dyDescent="0.35">
      <c r="A51" s="57" t="s">
        <v>98</v>
      </c>
      <c r="B51" s="58">
        <v>63</v>
      </c>
      <c r="C51" s="58">
        <v>21</v>
      </c>
      <c r="D51" s="58">
        <v>19</v>
      </c>
      <c r="E51" s="58">
        <v>9</v>
      </c>
      <c r="F51" s="58">
        <v>0</v>
      </c>
      <c r="G51" s="58">
        <v>0</v>
      </c>
      <c r="H51" s="58">
        <v>0</v>
      </c>
      <c r="I51" s="58">
        <v>0</v>
      </c>
      <c r="J51" s="58">
        <v>2227</v>
      </c>
      <c r="K51" s="58">
        <v>842</v>
      </c>
      <c r="L51" s="58">
        <v>1295</v>
      </c>
      <c r="M51" s="58">
        <v>492</v>
      </c>
      <c r="N51" s="58">
        <v>0</v>
      </c>
      <c r="O51" s="58">
        <v>0</v>
      </c>
      <c r="P51" s="58">
        <v>9</v>
      </c>
      <c r="Q51" s="58">
        <v>4</v>
      </c>
    </row>
    <row r="52" spans="1:17" ht="15.5" x14ac:dyDescent="0.35">
      <c r="A52" s="57" t="s">
        <v>99</v>
      </c>
      <c r="B52" s="58">
        <v>73</v>
      </c>
      <c r="C52" s="58">
        <v>23</v>
      </c>
      <c r="D52" s="58">
        <v>14</v>
      </c>
      <c r="E52" s="58">
        <v>6</v>
      </c>
      <c r="F52" s="58">
        <v>0</v>
      </c>
      <c r="G52" s="58">
        <v>0</v>
      </c>
      <c r="H52" s="58">
        <v>0</v>
      </c>
      <c r="I52" s="58">
        <v>0</v>
      </c>
      <c r="J52" s="58">
        <v>2128</v>
      </c>
      <c r="K52" s="58">
        <v>870</v>
      </c>
      <c r="L52" s="58">
        <v>1173</v>
      </c>
      <c r="M52" s="58">
        <v>434</v>
      </c>
      <c r="N52" s="58">
        <v>0</v>
      </c>
      <c r="O52" s="58">
        <v>0</v>
      </c>
      <c r="P52" s="58">
        <v>11</v>
      </c>
      <c r="Q52" s="58">
        <v>3</v>
      </c>
    </row>
    <row r="53" spans="1:17" ht="15.5" x14ac:dyDescent="0.35">
      <c r="A53" s="57" t="s">
        <v>38</v>
      </c>
      <c r="B53" s="58">
        <v>292</v>
      </c>
      <c r="C53" s="58">
        <v>127</v>
      </c>
      <c r="D53" s="58">
        <v>85</v>
      </c>
      <c r="E53" s="58">
        <v>25</v>
      </c>
      <c r="F53" s="58">
        <v>0</v>
      </c>
      <c r="G53" s="58">
        <v>0</v>
      </c>
      <c r="H53" s="58">
        <v>0</v>
      </c>
      <c r="I53" s="58">
        <v>0</v>
      </c>
      <c r="J53" s="58">
        <v>9135</v>
      </c>
      <c r="K53" s="58">
        <v>3667</v>
      </c>
      <c r="L53" s="58">
        <v>5229</v>
      </c>
      <c r="M53" s="58">
        <v>1986</v>
      </c>
      <c r="N53" s="58">
        <v>1</v>
      </c>
      <c r="O53" s="58">
        <v>0</v>
      </c>
      <c r="P53" s="58">
        <v>56</v>
      </c>
      <c r="Q53" s="58">
        <v>26</v>
      </c>
    </row>
    <row r="54" spans="1:17" ht="15.5" x14ac:dyDescent="0.35">
      <c r="A54" s="57" t="s">
        <v>39</v>
      </c>
      <c r="B54" s="58">
        <v>178</v>
      </c>
      <c r="C54" s="58">
        <v>80</v>
      </c>
      <c r="D54" s="58">
        <v>50</v>
      </c>
      <c r="E54" s="58">
        <v>15</v>
      </c>
      <c r="F54" s="58">
        <v>0</v>
      </c>
      <c r="G54" s="58">
        <v>0</v>
      </c>
      <c r="H54" s="58">
        <v>0</v>
      </c>
      <c r="I54" s="58">
        <v>0</v>
      </c>
      <c r="J54" s="58">
        <v>6281</v>
      </c>
      <c r="K54" s="58">
        <v>2584</v>
      </c>
      <c r="L54" s="58">
        <v>3845</v>
      </c>
      <c r="M54" s="58">
        <v>1557</v>
      </c>
      <c r="N54" s="58">
        <v>0</v>
      </c>
      <c r="O54" s="58">
        <v>0</v>
      </c>
      <c r="P54" s="58">
        <v>35</v>
      </c>
      <c r="Q54" s="58">
        <v>17</v>
      </c>
    </row>
    <row r="55" spans="1:17" ht="15.5" x14ac:dyDescent="0.35">
      <c r="A55" s="57" t="s">
        <v>40</v>
      </c>
      <c r="B55" s="58">
        <v>123</v>
      </c>
      <c r="C55" s="58">
        <v>70</v>
      </c>
      <c r="D55" s="58">
        <v>33</v>
      </c>
      <c r="E55" s="58">
        <v>19</v>
      </c>
      <c r="F55" s="58">
        <v>0</v>
      </c>
      <c r="G55" s="58">
        <v>0</v>
      </c>
      <c r="H55" s="58">
        <v>0</v>
      </c>
      <c r="I55" s="58">
        <v>0</v>
      </c>
      <c r="J55" s="58">
        <v>4074</v>
      </c>
      <c r="K55" s="58">
        <v>1811</v>
      </c>
      <c r="L55" s="58">
        <v>2694</v>
      </c>
      <c r="M55" s="58">
        <v>1234</v>
      </c>
      <c r="N55" s="58">
        <v>0</v>
      </c>
      <c r="O55" s="58">
        <v>0</v>
      </c>
      <c r="P55" s="58">
        <v>24</v>
      </c>
      <c r="Q55" s="58">
        <v>12</v>
      </c>
    </row>
    <row r="56" spans="1:17" ht="15.5" x14ac:dyDescent="0.35">
      <c r="A56" s="57" t="s">
        <v>41</v>
      </c>
      <c r="B56" s="58">
        <v>72</v>
      </c>
      <c r="C56" s="58">
        <v>45</v>
      </c>
      <c r="D56" s="58">
        <v>24</v>
      </c>
      <c r="E56" s="58">
        <v>12</v>
      </c>
      <c r="F56" s="58">
        <v>0</v>
      </c>
      <c r="G56" s="58">
        <v>0</v>
      </c>
      <c r="H56" s="58">
        <v>0</v>
      </c>
      <c r="I56" s="58">
        <v>0</v>
      </c>
      <c r="J56" s="58">
        <v>2423</v>
      </c>
      <c r="K56" s="58">
        <v>1192</v>
      </c>
      <c r="L56" s="58">
        <v>1612</v>
      </c>
      <c r="M56" s="58">
        <v>892</v>
      </c>
      <c r="N56" s="58">
        <v>1</v>
      </c>
      <c r="O56" s="58">
        <v>1</v>
      </c>
      <c r="P56" s="58">
        <v>13</v>
      </c>
      <c r="Q56" s="58">
        <v>7</v>
      </c>
    </row>
    <row r="57" spans="1:17" ht="15.5" x14ac:dyDescent="0.35">
      <c r="A57" s="57" t="s">
        <v>42</v>
      </c>
      <c r="B57" s="58">
        <v>45</v>
      </c>
      <c r="C57" s="58">
        <v>26</v>
      </c>
      <c r="D57" s="58">
        <v>17</v>
      </c>
      <c r="E57" s="58">
        <v>11</v>
      </c>
      <c r="F57" s="58">
        <v>0</v>
      </c>
      <c r="G57" s="58">
        <v>0</v>
      </c>
      <c r="H57" s="58">
        <v>0</v>
      </c>
      <c r="I57" s="58">
        <v>0</v>
      </c>
      <c r="J57" s="58">
        <v>1354</v>
      </c>
      <c r="K57" s="58">
        <v>754</v>
      </c>
      <c r="L57" s="58">
        <v>891</v>
      </c>
      <c r="M57" s="58">
        <v>526</v>
      </c>
      <c r="N57" s="58">
        <v>0</v>
      </c>
      <c r="O57" s="58">
        <v>0</v>
      </c>
      <c r="P57" s="58">
        <v>12</v>
      </c>
      <c r="Q57" s="58">
        <v>8</v>
      </c>
    </row>
    <row r="58" spans="1:17" ht="15.5" x14ac:dyDescent="0.35">
      <c r="A58" s="57" t="s">
        <v>43</v>
      </c>
      <c r="B58" s="58">
        <v>23</v>
      </c>
      <c r="C58" s="58">
        <v>14</v>
      </c>
      <c r="D58" s="58">
        <v>11</v>
      </c>
      <c r="E58" s="58">
        <v>10</v>
      </c>
      <c r="F58" s="58">
        <v>0</v>
      </c>
      <c r="G58" s="58">
        <v>0</v>
      </c>
      <c r="H58" s="58">
        <v>0</v>
      </c>
      <c r="I58" s="58">
        <v>0</v>
      </c>
      <c r="J58" s="58">
        <v>652</v>
      </c>
      <c r="K58" s="58">
        <v>430</v>
      </c>
      <c r="L58" s="58">
        <v>373</v>
      </c>
      <c r="M58" s="58">
        <v>253</v>
      </c>
      <c r="N58" s="58">
        <v>0</v>
      </c>
      <c r="O58" s="58">
        <v>0</v>
      </c>
      <c r="P58" s="58">
        <v>10</v>
      </c>
      <c r="Q58" s="58">
        <v>6</v>
      </c>
    </row>
    <row r="59" spans="1:17" ht="15.5" x14ac:dyDescent="0.35">
      <c r="A59" s="57" t="s">
        <v>44</v>
      </c>
      <c r="B59" s="58">
        <v>10</v>
      </c>
      <c r="C59" s="58">
        <v>6</v>
      </c>
      <c r="D59" s="58">
        <v>3</v>
      </c>
      <c r="E59" s="58">
        <v>3</v>
      </c>
      <c r="F59" s="58">
        <v>0</v>
      </c>
      <c r="G59" s="58">
        <v>0</v>
      </c>
      <c r="H59" s="58">
        <v>0</v>
      </c>
      <c r="I59" s="58">
        <v>0</v>
      </c>
      <c r="J59" s="58">
        <v>296</v>
      </c>
      <c r="K59" s="58">
        <v>212</v>
      </c>
      <c r="L59" s="58">
        <v>127</v>
      </c>
      <c r="M59" s="58">
        <v>82</v>
      </c>
      <c r="N59" s="58">
        <v>0</v>
      </c>
      <c r="O59" s="58">
        <v>0</v>
      </c>
      <c r="P59" s="58">
        <v>2</v>
      </c>
      <c r="Q59" s="58">
        <v>1</v>
      </c>
    </row>
    <row r="60" spans="1:17" ht="15.5" x14ac:dyDescent="0.35">
      <c r="A60" s="57" t="s">
        <v>45</v>
      </c>
      <c r="B60" s="58">
        <v>16</v>
      </c>
      <c r="C60" s="58">
        <v>7</v>
      </c>
      <c r="D60" s="58">
        <v>2</v>
      </c>
      <c r="E60" s="58">
        <v>2</v>
      </c>
      <c r="F60" s="58">
        <v>2</v>
      </c>
      <c r="G60" s="58">
        <v>0</v>
      </c>
      <c r="H60" s="58">
        <v>312</v>
      </c>
      <c r="I60" s="58">
        <v>93</v>
      </c>
      <c r="J60" s="58">
        <v>2902</v>
      </c>
      <c r="K60" s="58">
        <v>2233</v>
      </c>
      <c r="L60" s="58">
        <v>1024</v>
      </c>
      <c r="M60" s="58">
        <v>711</v>
      </c>
      <c r="N60" s="58">
        <v>144</v>
      </c>
      <c r="O60" s="58">
        <v>105</v>
      </c>
      <c r="P60" s="58">
        <v>13002</v>
      </c>
      <c r="Q60" s="58">
        <v>10260</v>
      </c>
    </row>
    <row r="61" spans="1:17" ht="15.5" x14ac:dyDescent="0.35">
      <c r="A61" s="60" t="s">
        <v>16</v>
      </c>
      <c r="B61" s="58">
        <v>4602</v>
      </c>
      <c r="C61" s="58">
        <v>2420</v>
      </c>
      <c r="D61" s="58">
        <v>1444</v>
      </c>
      <c r="E61" s="58">
        <v>614</v>
      </c>
      <c r="F61" s="58">
        <v>3</v>
      </c>
      <c r="G61" s="58">
        <v>0</v>
      </c>
      <c r="H61" s="58">
        <v>318</v>
      </c>
      <c r="I61" s="58">
        <v>99</v>
      </c>
      <c r="J61" s="58">
        <v>169558</v>
      </c>
      <c r="K61" s="58">
        <v>84514</v>
      </c>
      <c r="L61" s="58">
        <v>105409</v>
      </c>
      <c r="M61" s="58">
        <v>46034</v>
      </c>
      <c r="N61" s="58">
        <v>159</v>
      </c>
      <c r="O61" s="58">
        <v>111</v>
      </c>
      <c r="P61" s="58">
        <v>13892</v>
      </c>
      <c r="Q61" s="58">
        <v>10704</v>
      </c>
    </row>
  </sheetData>
  <pageMargins left="0.55000000000000004" right="0.55000000000000004" top="0.55000000000000004" bottom="0.55000000000000004" header="0.3" footer="0.3"/>
  <pageSetup scale="52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AD3B-C5B5-41E0-BAD7-674745974297}">
  <sheetPr>
    <pageSetUpPr fitToPage="1"/>
  </sheetPr>
  <dimension ref="A1:N33"/>
  <sheetViews>
    <sheetView workbookViewId="0">
      <selection activeCell="A2" sqref="A2"/>
    </sheetView>
  </sheetViews>
  <sheetFormatPr defaultRowHeight="14.5" x14ac:dyDescent="0.35"/>
  <cols>
    <col min="1" max="1" width="26.26953125" bestFit="1" customWidth="1"/>
    <col min="2" max="2" width="6.54296875" bestFit="1" customWidth="1"/>
    <col min="3" max="11" width="8" bestFit="1" customWidth="1"/>
    <col min="12" max="12" width="15.1796875" bestFit="1" customWidth="1"/>
    <col min="13" max="13" width="13.7265625" bestFit="1" customWidth="1"/>
    <col min="14" max="14" width="7.453125" bestFit="1" customWidth="1"/>
    <col min="15" max="19" width="5.54296875" bestFit="1" customWidth="1"/>
    <col min="20" max="21" width="7" bestFit="1" customWidth="1"/>
    <col min="22" max="22" width="14.1796875" bestFit="1" customWidth="1"/>
    <col min="23" max="23" width="10.453125" bestFit="1" customWidth="1"/>
    <col min="24" max="28" width="4.1796875" bestFit="1" customWidth="1"/>
    <col min="29" max="38" width="5.54296875" bestFit="1" customWidth="1"/>
    <col min="39" max="44" width="7" bestFit="1" customWidth="1"/>
    <col min="45" max="48" width="8.453125" bestFit="1" customWidth="1"/>
    <col min="49" max="50" width="9.81640625" bestFit="1" customWidth="1"/>
    <col min="51" max="51" width="15.26953125" bestFit="1" customWidth="1"/>
    <col min="52" max="52" width="9.81640625" bestFit="1" customWidth="1"/>
    <col min="53" max="53" width="11" bestFit="1" customWidth="1"/>
    <col min="54" max="54" width="6.26953125" bestFit="1" customWidth="1"/>
    <col min="55" max="55" width="11" bestFit="1" customWidth="1"/>
    <col min="56" max="56" width="6.26953125" bestFit="1" customWidth="1"/>
    <col min="57" max="57" width="11" bestFit="1" customWidth="1"/>
    <col min="58" max="58" width="9.7265625" bestFit="1" customWidth="1"/>
    <col min="59" max="59" width="12.453125" bestFit="1" customWidth="1"/>
    <col min="60" max="60" width="9.7265625" bestFit="1" customWidth="1"/>
    <col min="61" max="61" width="12.453125" bestFit="1" customWidth="1"/>
    <col min="62" max="62" width="9.7265625" bestFit="1" customWidth="1"/>
    <col min="63" max="63" width="12.453125" bestFit="1" customWidth="1"/>
    <col min="64" max="64" width="7.7265625" bestFit="1" customWidth="1"/>
    <col min="65" max="65" width="12.453125" bestFit="1" customWidth="1"/>
    <col min="66" max="66" width="7.7265625" bestFit="1" customWidth="1"/>
    <col min="67" max="67" width="12.453125" bestFit="1" customWidth="1"/>
    <col min="68" max="68" width="7.7265625" bestFit="1" customWidth="1"/>
    <col min="69" max="69" width="12.453125" bestFit="1" customWidth="1"/>
    <col min="70" max="70" width="7.7265625" bestFit="1" customWidth="1"/>
    <col min="71" max="71" width="12.453125" bestFit="1" customWidth="1"/>
    <col min="72" max="72" width="9.7265625" bestFit="1" customWidth="1"/>
    <col min="73" max="73" width="12.453125" bestFit="1" customWidth="1"/>
    <col min="74" max="74" width="9.7265625" bestFit="1" customWidth="1"/>
    <col min="75" max="75" width="12.453125" bestFit="1" customWidth="1"/>
    <col min="76" max="76" width="9.7265625" bestFit="1" customWidth="1"/>
    <col min="77" max="77" width="12.453125" bestFit="1" customWidth="1"/>
    <col min="79" max="79" width="14" bestFit="1" customWidth="1"/>
    <col min="81" max="81" width="14" bestFit="1" customWidth="1"/>
    <col min="82" max="82" width="9.7265625" bestFit="1" customWidth="1"/>
    <col min="83" max="83" width="14" bestFit="1" customWidth="1"/>
    <col min="84" max="84" width="9.7265625" bestFit="1" customWidth="1"/>
    <col min="85" max="85" width="14" bestFit="1" customWidth="1"/>
    <col min="86" max="86" width="9.7265625" bestFit="1" customWidth="1"/>
    <col min="87" max="87" width="14" bestFit="1" customWidth="1"/>
    <col min="89" max="89" width="14" bestFit="1" customWidth="1"/>
    <col min="90" max="90" width="10.54296875" bestFit="1" customWidth="1"/>
    <col min="91" max="91" width="15.453125" bestFit="1" customWidth="1"/>
    <col min="92" max="92" width="10.54296875" bestFit="1" customWidth="1"/>
    <col min="93" max="93" width="15.453125" bestFit="1" customWidth="1"/>
    <col min="94" max="94" width="10.54296875" bestFit="1" customWidth="1"/>
    <col min="95" max="95" width="15.453125" bestFit="1" customWidth="1"/>
    <col min="96" max="96" width="10.54296875" bestFit="1" customWidth="1"/>
    <col min="97" max="97" width="15.453125" bestFit="1" customWidth="1"/>
    <col min="98" max="98" width="12" bestFit="1" customWidth="1"/>
    <col min="99" max="99" width="16.81640625" bestFit="1" customWidth="1"/>
    <col min="100" max="100" width="12" bestFit="1" customWidth="1"/>
    <col min="101" max="101" width="16.81640625" bestFit="1" customWidth="1"/>
    <col min="102" max="102" width="15.26953125" bestFit="1" customWidth="1"/>
  </cols>
  <sheetData>
    <row r="1" spans="1:14" ht="17.5" x14ac:dyDescent="0.35">
      <c r="A1" s="1" t="str">
        <f>Parameters!$A$40</f>
        <v>TABLE 3D DRIVERS IN FATAL CRASHES BY AGE BY HOUR OF DAY - 2021</v>
      </c>
    </row>
    <row r="3" spans="1:14" ht="15.5" x14ac:dyDescent="0.35">
      <c r="A3" s="56" t="s">
        <v>15</v>
      </c>
      <c r="B3" s="65" t="s">
        <v>15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ht="15.5" x14ac:dyDescent="0.35">
      <c r="A4" s="67" t="s">
        <v>190</v>
      </c>
      <c r="B4" s="62" t="s">
        <v>100</v>
      </c>
      <c r="C4" s="62" t="s">
        <v>30</v>
      </c>
      <c r="D4" s="62" t="s">
        <v>31</v>
      </c>
      <c r="E4" s="62" t="s">
        <v>32</v>
      </c>
      <c r="F4" s="62" t="s">
        <v>33</v>
      </c>
      <c r="G4" s="62" t="s">
        <v>34</v>
      </c>
      <c r="H4" s="62" t="s">
        <v>35</v>
      </c>
      <c r="I4" s="62" t="s">
        <v>36</v>
      </c>
      <c r="J4" s="62" t="s">
        <v>37</v>
      </c>
      <c r="K4" s="62" t="s">
        <v>38</v>
      </c>
      <c r="L4" s="62" t="s">
        <v>101</v>
      </c>
      <c r="M4" s="62" t="s">
        <v>153</v>
      </c>
      <c r="N4" s="62" t="s">
        <v>16</v>
      </c>
    </row>
    <row r="5" spans="1:14" ht="15.5" x14ac:dyDescent="0.35">
      <c r="A5" s="60" t="s">
        <v>191</v>
      </c>
      <c r="B5" s="58">
        <v>123</v>
      </c>
      <c r="C5" s="58">
        <v>317</v>
      </c>
      <c r="D5" s="58">
        <v>336</v>
      </c>
      <c r="E5" s="58">
        <v>294</v>
      </c>
      <c r="F5" s="58">
        <v>256</v>
      </c>
      <c r="G5" s="58">
        <v>181</v>
      </c>
      <c r="H5" s="58">
        <v>143</v>
      </c>
      <c r="I5" s="58">
        <v>192</v>
      </c>
      <c r="J5" s="58">
        <v>143</v>
      </c>
      <c r="K5" s="58">
        <v>128</v>
      </c>
      <c r="L5" s="58">
        <v>188</v>
      </c>
      <c r="M5" s="58">
        <v>136</v>
      </c>
      <c r="N5" s="58">
        <v>2437</v>
      </c>
    </row>
    <row r="6" spans="1:14" ht="15.5" x14ac:dyDescent="0.35">
      <c r="A6" s="57" t="s">
        <v>102</v>
      </c>
      <c r="B6" s="58">
        <v>21</v>
      </c>
      <c r="C6" s="58">
        <v>50</v>
      </c>
      <c r="D6" s="58">
        <v>39</v>
      </c>
      <c r="E6" s="58">
        <v>43</v>
      </c>
      <c r="F6" s="58">
        <v>17</v>
      </c>
      <c r="G6" s="58">
        <v>22</v>
      </c>
      <c r="H6" s="58">
        <v>17</v>
      </c>
      <c r="I6" s="58">
        <v>13</v>
      </c>
      <c r="J6" s="58">
        <v>8</v>
      </c>
      <c r="K6" s="58">
        <v>6</v>
      </c>
      <c r="L6" s="58">
        <v>13</v>
      </c>
      <c r="M6" s="58">
        <v>20</v>
      </c>
      <c r="N6" s="58">
        <v>269</v>
      </c>
    </row>
    <row r="7" spans="1:14" ht="15.5" x14ac:dyDescent="0.35">
      <c r="A7" s="57" t="s">
        <v>103</v>
      </c>
      <c r="B7" s="58">
        <v>17</v>
      </c>
      <c r="C7" s="58">
        <v>44</v>
      </c>
      <c r="D7" s="58">
        <v>45</v>
      </c>
      <c r="E7" s="58">
        <v>26</v>
      </c>
      <c r="F7" s="58">
        <v>30</v>
      </c>
      <c r="G7" s="58">
        <v>15</v>
      </c>
      <c r="H7" s="58">
        <v>11</v>
      </c>
      <c r="I7" s="58">
        <v>6</v>
      </c>
      <c r="J7" s="58">
        <v>5</v>
      </c>
      <c r="K7" s="58">
        <v>6</v>
      </c>
      <c r="L7" s="58">
        <v>6</v>
      </c>
      <c r="M7" s="58">
        <v>15</v>
      </c>
      <c r="N7" s="58">
        <v>226</v>
      </c>
    </row>
    <row r="8" spans="1:14" ht="15.5" x14ac:dyDescent="0.35">
      <c r="A8" s="57" t="s">
        <v>104</v>
      </c>
      <c r="B8" s="58">
        <v>10</v>
      </c>
      <c r="C8" s="58">
        <v>48</v>
      </c>
      <c r="D8" s="58">
        <v>49</v>
      </c>
      <c r="E8" s="58">
        <v>40</v>
      </c>
      <c r="F8" s="58">
        <v>29</v>
      </c>
      <c r="G8" s="58">
        <v>21</v>
      </c>
      <c r="H8" s="58">
        <v>12</v>
      </c>
      <c r="I8" s="58">
        <v>17</v>
      </c>
      <c r="J8" s="58">
        <v>12</v>
      </c>
      <c r="K8" s="58">
        <v>9</v>
      </c>
      <c r="L8" s="58">
        <v>9</v>
      </c>
      <c r="M8" s="58">
        <v>22</v>
      </c>
      <c r="N8" s="58">
        <v>278</v>
      </c>
    </row>
    <row r="9" spans="1:14" ht="15.5" x14ac:dyDescent="0.35">
      <c r="A9" s="57" t="s">
        <v>105</v>
      </c>
      <c r="B9" s="58">
        <v>14</v>
      </c>
      <c r="C9" s="58">
        <v>27</v>
      </c>
      <c r="D9" s="58">
        <v>21</v>
      </c>
      <c r="E9" s="58">
        <v>23</v>
      </c>
      <c r="F9" s="58">
        <v>25</v>
      </c>
      <c r="G9" s="58">
        <v>9</v>
      </c>
      <c r="H9" s="58">
        <v>9</v>
      </c>
      <c r="I9" s="58">
        <v>15</v>
      </c>
      <c r="J9" s="58">
        <v>15</v>
      </c>
      <c r="K9" s="58">
        <v>7</v>
      </c>
      <c r="L9" s="58">
        <v>5</v>
      </c>
      <c r="M9" s="58">
        <v>15</v>
      </c>
      <c r="N9" s="58">
        <v>185</v>
      </c>
    </row>
    <row r="10" spans="1:14" ht="15.5" x14ac:dyDescent="0.35">
      <c r="A10" s="57" t="s">
        <v>106</v>
      </c>
      <c r="B10" s="58">
        <v>11</v>
      </c>
      <c r="C10" s="58">
        <v>32</v>
      </c>
      <c r="D10" s="58">
        <v>30</v>
      </c>
      <c r="E10" s="58">
        <v>25</v>
      </c>
      <c r="F10" s="58">
        <v>22</v>
      </c>
      <c r="G10" s="58">
        <v>17</v>
      </c>
      <c r="H10" s="58">
        <v>13</v>
      </c>
      <c r="I10" s="58">
        <v>16</v>
      </c>
      <c r="J10" s="58">
        <v>15</v>
      </c>
      <c r="K10" s="58">
        <v>15</v>
      </c>
      <c r="L10" s="58">
        <v>11</v>
      </c>
      <c r="M10" s="58">
        <v>11</v>
      </c>
      <c r="N10" s="58">
        <v>218</v>
      </c>
    </row>
    <row r="11" spans="1:14" ht="15.5" x14ac:dyDescent="0.35">
      <c r="A11" s="57" t="s">
        <v>107</v>
      </c>
      <c r="B11" s="58">
        <v>8</v>
      </c>
      <c r="C11" s="58">
        <v>26</v>
      </c>
      <c r="D11" s="58">
        <v>35</v>
      </c>
      <c r="E11" s="58">
        <v>34</v>
      </c>
      <c r="F11" s="58">
        <v>32</v>
      </c>
      <c r="G11" s="58">
        <v>16</v>
      </c>
      <c r="H11" s="58">
        <v>12</v>
      </c>
      <c r="I11" s="58">
        <v>26</v>
      </c>
      <c r="J11" s="58">
        <v>22</v>
      </c>
      <c r="K11" s="58">
        <v>19</v>
      </c>
      <c r="L11" s="58">
        <v>12</v>
      </c>
      <c r="M11" s="58">
        <v>16</v>
      </c>
      <c r="N11" s="58">
        <v>258</v>
      </c>
    </row>
    <row r="12" spans="1:14" ht="15.5" x14ac:dyDescent="0.35">
      <c r="A12" s="57" t="s">
        <v>108</v>
      </c>
      <c r="B12" s="58">
        <v>8</v>
      </c>
      <c r="C12" s="58">
        <v>16</v>
      </c>
      <c r="D12" s="58">
        <v>31</v>
      </c>
      <c r="E12" s="58">
        <v>28</v>
      </c>
      <c r="F12" s="58">
        <v>20</v>
      </c>
      <c r="G12" s="58">
        <v>20</v>
      </c>
      <c r="H12" s="58">
        <v>16</v>
      </c>
      <c r="I12" s="58">
        <v>27</v>
      </c>
      <c r="J12" s="58">
        <v>20</v>
      </c>
      <c r="K12" s="58">
        <v>9</v>
      </c>
      <c r="L12" s="58">
        <v>17</v>
      </c>
      <c r="M12" s="58">
        <v>16</v>
      </c>
      <c r="N12" s="58">
        <v>228</v>
      </c>
    </row>
    <row r="13" spans="1:14" ht="15.5" x14ac:dyDescent="0.35">
      <c r="A13" s="57" t="s">
        <v>109</v>
      </c>
      <c r="B13" s="58">
        <v>8</v>
      </c>
      <c r="C13" s="58">
        <v>9</v>
      </c>
      <c r="D13" s="58">
        <v>19</v>
      </c>
      <c r="E13" s="58">
        <v>15</v>
      </c>
      <c r="F13" s="58">
        <v>24</v>
      </c>
      <c r="G13" s="58">
        <v>15</v>
      </c>
      <c r="H13" s="58">
        <v>10</v>
      </c>
      <c r="I13" s="58">
        <v>18</v>
      </c>
      <c r="J13" s="58">
        <v>10</v>
      </c>
      <c r="K13" s="58">
        <v>12</v>
      </c>
      <c r="L13" s="58">
        <v>14</v>
      </c>
      <c r="M13" s="58">
        <v>6</v>
      </c>
      <c r="N13" s="58">
        <v>160</v>
      </c>
    </row>
    <row r="14" spans="1:14" ht="15.5" x14ac:dyDescent="0.35">
      <c r="A14" s="57" t="s">
        <v>110</v>
      </c>
      <c r="B14" s="58">
        <v>4</v>
      </c>
      <c r="C14" s="58">
        <v>19</v>
      </c>
      <c r="D14" s="58">
        <v>15</v>
      </c>
      <c r="E14" s="58">
        <v>23</v>
      </c>
      <c r="F14" s="58">
        <v>25</v>
      </c>
      <c r="G14" s="58">
        <v>8</v>
      </c>
      <c r="H14" s="58">
        <v>15</v>
      </c>
      <c r="I14" s="58">
        <v>19</v>
      </c>
      <c r="J14" s="58">
        <v>8</v>
      </c>
      <c r="K14" s="58">
        <v>14</v>
      </c>
      <c r="L14" s="58">
        <v>21</v>
      </c>
      <c r="M14" s="58">
        <v>8</v>
      </c>
      <c r="N14" s="58">
        <v>179</v>
      </c>
    </row>
    <row r="15" spans="1:14" ht="15.5" x14ac:dyDescent="0.35">
      <c r="A15" s="57" t="s">
        <v>111</v>
      </c>
      <c r="B15" s="58">
        <v>8</v>
      </c>
      <c r="C15" s="58">
        <v>13</v>
      </c>
      <c r="D15" s="58">
        <v>20</v>
      </c>
      <c r="E15" s="58">
        <v>9</v>
      </c>
      <c r="F15" s="58">
        <v>7</v>
      </c>
      <c r="G15" s="58">
        <v>12</v>
      </c>
      <c r="H15" s="58">
        <v>10</v>
      </c>
      <c r="I15" s="58">
        <v>7</v>
      </c>
      <c r="J15" s="58">
        <v>11</v>
      </c>
      <c r="K15" s="58">
        <v>13</v>
      </c>
      <c r="L15" s="58">
        <v>15</v>
      </c>
      <c r="M15" s="58">
        <v>2</v>
      </c>
      <c r="N15" s="58">
        <v>127</v>
      </c>
    </row>
    <row r="16" spans="1:14" ht="15.5" x14ac:dyDescent="0.35">
      <c r="A16" s="57" t="s">
        <v>112</v>
      </c>
      <c r="B16" s="58">
        <v>5</v>
      </c>
      <c r="C16" s="58">
        <v>15</v>
      </c>
      <c r="D16" s="58">
        <v>9</v>
      </c>
      <c r="E16" s="58">
        <v>12</v>
      </c>
      <c r="F16" s="58">
        <v>9</v>
      </c>
      <c r="G16" s="58">
        <v>8</v>
      </c>
      <c r="H16" s="58">
        <v>4</v>
      </c>
      <c r="I16" s="58">
        <v>17</v>
      </c>
      <c r="J16" s="58">
        <v>8</v>
      </c>
      <c r="K16" s="58">
        <v>7</v>
      </c>
      <c r="L16" s="58">
        <v>26</v>
      </c>
      <c r="M16" s="58">
        <v>4</v>
      </c>
      <c r="N16" s="58">
        <v>124</v>
      </c>
    </row>
    <row r="17" spans="1:14" ht="15.5" x14ac:dyDescent="0.35">
      <c r="A17" s="57" t="s">
        <v>113</v>
      </c>
      <c r="B17" s="58">
        <v>9</v>
      </c>
      <c r="C17" s="58">
        <v>18</v>
      </c>
      <c r="D17" s="58">
        <v>23</v>
      </c>
      <c r="E17" s="58">
        <v>16</v>
      </c>
      <c r="F17" s="58">
        <v>16</v>
      </c>
      <c r="G17" s="58">
        <v>18</v>
      </c>
      <c r="H17" s="58">
        <v>14</v>
      </c>
      <c r="I17" s="58">
        <v>11</v>
      </c>
      <c r="J17" s="58">
        <v>9</v>
      </c>
      <c r="K17" s="58">
        <v>11</v>
      </c>
      <c r="L17" s="58">
        <v>39</v>
      </c>
      <c r="M17" s="58">
        <v>1</v>
      </c>
      <c r="N17" s="58">
        <v>185</v>
      </c>
    </row>
    <row r="18" spans="1:14" ht="15.5" x14ac:dyDescent="0.35">
      <c r="A18" s="60" t="s">
        <v>192</v>
      </c>
      <c r="B18" s="58">
        <v>232</v>
      </c>
      <c r="C18" s="58">
        <v>480</v>
      </c>
      <c r="D18" s="58">
        <v>449</v>
      </c>
      <c r="E18" s="58">
        <v>396</v>
      </c>
      <c r="F18" s="58">
        <v>347</v>
      </c>
      <c r="G18" s="58">
        <v>277</v>
      </c>
      <c r="H18" s="58">
        <v>259</v>
      </c>
      <c r="I18" s="58">
        <v>305</v>
      </c>
      <c r="J18" s="58">
        <v>286</v>
      </c>
      <c r="K18" s="58">
        <v>245</v>
      </c>
      <c r="L18" s="58">
        <v>397</v>
      </c>
      <c r="M18" s="58">
        <v>183</v>
      </c>
      <c r="N18" s="58">
        <v>3856</v>
      </c>
    </row>
    <row r="19" spans="1:14" ht="15.5" x14ac:dyDescent="0.35">
      <c r="A19" s="57" t="s">
        <v>114</v>
      </c>
      <c r="B19" s="58">
        <v>10</v>
      </c>
      <c r="C19" s="58">
        <v>17</v>
      </c>
      <c r="D19" s="58">
        <v>22</v>
      </c>
      <c r="E19" s="58">
        <v>16</v>
      </c>
      <c r="F19" s="58">
        <v>14</v>
      </c>
      <c r="G19" s="58">
        <v>15</v>
      </c>
      <c r="H19" s="58">
        <v>14</v>
      </c>
      <c r="I19" s="58">
        <v>13</v>
      </c>
      <c r="J19" s="58">
        <v>14</v>
      </c>
      <c r="K19" s="58">
        <v>15</v>
      </c>
      <c r="L19" s="58">
        <v>35</v>
      </c>
      <c r="M19" s="58">
        <v>5</v>
      </c>
      <c r="N19" s="58">
        <v>190</v>
      </c>
    </row>
    <row r="20" spans="1:14" ht="15.5" x14ac:dyDescent="0.35">
      <c r="A20" s="57" t="s">
        <v>115</v>
      </c>
      <c r="B20" s="58">
        <v>7</v>
      </c>
      <c r="C20" s="58">
        <v>24</v>
      </c>
      <c r="D20" s="58">
        <v>18</v>
      </c>
      <c r="E20" s="58">
        <v>19</v>
      </c>
      <c r="F20" s="58">
        <v>21</v>
      </c>
      <c r="G20" s="58">
        <v>18</v>
      </c>
      <c r="H20" s="58">
        <v>23</v>
      </c>
      <c r="I20" s="58">
        <v>21</v>
      </c>
      <c r="J20" s="58">
        <v>17</v>
      </c>
      <c r="K20" s="58">
        <v>21</v>
      </c>
      <c r="L20" s="58">
        <v>43</v>
      </c>
      <c r="M20" s="58">
        <v>1</v>
      </c>
      <c r="N20" s="58">
        <v>233</v>
      </c>
    </row>
    <row r="21" spans="1:14" ht="15.5" x14ac:dyDescent="0.35">
      <c r="A21" s="57" t="s">
        <v>116</v>
      </c>
      <c r="B21" s="58">
        <v>9</v>
      </c>
      <c r="C21" s="58">
        <v>34</v>
      </c>
      <c r="D21" s="58">
        <v>30</v>
      </c>
      <c r="E21" s="58">
        <v>27</v>
      </c>
      <c r="F21" s="58">
        <v>25</v>
      </c>
      <c r="G21" s="58">
        <v>12</v>
      </c>
      <c r="H21" s="58">
        <v>24</v>
      </c>
      <c r="I21" s="58">
        <v>27</v>
      </c>
      <c r="J21" s="58">
        <v>25</v>
      </c>
      <c r="K21" s="58">
        <v>24</v>
      </c>
      <c r="L21" s="58">
        <v>50</v>
      </c>
      <c r="M21" s="58">
        <v>3</v>
      </c>
      <c r="N21" s="58">
        <v>290</v>
      </c>
    </row>
    <row r="22" spans="1:14" ht="15.5" x14ac:dyDescent="0.35">
      <c r="A22" s="57" t="s">
        <v>117</v>
      </c>
      <c r="B22" s="58">
        <v>20</v>
      </c>
      <c r="C22" s="58">
        <v>29</v>
      </c>
      <c r="D22" s="58">
        <v>34</v>
      </c>
      <c r="E22" s="58">
        <v>24</v>
      </c>
      <c r="F22" s="58">
        <v>24</v>
      </c>
      <c r="G22" s="58">
        <v>25</v>
      </c>
      <c r="H22" s="58">
        <v>26</v>
      </c>
      <c r="I22" s="58">
        <v>29</v>
      </c>
      <c r="J22" s="58">
        <v>23</v>
      </c>
      <c r="K22" s="58">
        <v>18</v>
      </c>
      <c r="L22" s="58">
        <v>36</v>
      </c>
      <c r="M22" s="58">
        <v>6</v>
      </c>
      <c r="N22" s="58">
        <v>294</v>
      </c>
    </row>
    <row r="23" spans="1:14" ht="15.5" x14ac:dyDescent="0.35">
      <c r="A23" s="57" t="s">
        <v>118</v>
      </c>
      <c r="B23" s="58">
        <v>16</v>
      </c>
      <c r="C23" s="58">
        <v>35</v>
      </c>
      <c r="D23" s="58">
        <v>37</v>
      </c>
      <c r="E23" s="58">
        <v>29</v>
      </c>
      <c r="F23" s="58">
        <v>21</v>
      </c>
      <c r="G23" s="58">
        <v>19</v>
      </c>
      <c r="H23" s="58">
        <v>17</v>
      </c>
      <c r="I23" s="58">
        <v>22</v>
      </c>
      <c r="J23" s="58">
        <v>24</v>
      </c>
      <c r="K23" s="58">
        <v>30</v>
      </c>
      <c r="L23" s="58">
        <v>40</v>
      </c>
      <c r="M23" s="58">
        <v>2</v>
      </c>
      <c r="N23" s="58">
        <v>292</v>
      </c>
    </row>
    <row r="24" spans="1:14" ht="15.5" x14ac:dyDescent="0.35">
      <c r="A24" s="57" t="s">
        <v>119</v>
      </c>
      <c r="B24" s="58">
        <v>18</v>
      </c>
      <c r="C24" s="58">
        <v>48</v>
      </c>
      <c r="D24" s="58">
        <v>46</v>
      </c>
      <c r="E24" s="58">
        <v>35</v>
      </c>
      <c r="F24" s="58">
        <v>32</v>
      </c>
      <c r="G24" s="58">
        <v>34</v>
      </c>
      <c r="H24" s="58">
        <v>19</v>
      </c>
      <c r="I24" s="58">
        <v>38</v>
      </c>
      <c r="J24" s="58">
        <v>35</v>
      </c>
      <c r="K24" s="58">
        <v>26</v>
      </c>
      <c r="L24" s="58">
        <v>45</v>
      </c>
      <c r="M24" s="58">
        <v>16</v>
      </c>
      <c r="N24" s="58">
        <v>392</v>
      </c>
    </row>
    <row r="25" spans="1:14" ht="15.5" x14ac:dyDescent="0.35">
      <c r="A25" s="57" t="s">
        <v>120</v>
      </c>
      <c r="B25" s="58">
        <v>20</v>
      </c>
      <c r="C25" s="58">
        <v>47</v>
      </c>
      <c r="D25" s="58">
        <v>39</v>
      </c>
      <c r="E25" s="58">
        <v>39</v>
      </c>
      <c r="F25" s="58">
        <v>32</v>
      </c>
      <c r="G25" s="58">
        <v>17</v>
      </c>
      <c r="H25" s="58">
        <v>29</v>
      </c>
      <c r="I25" s="58">
        <v>27</v>
      </c>
      <c r="J25" s="58">
        <v>33</v>
      </c>
      <c r="K25" s="58">
        <v>22</v>
      </c>
      <c r="L25" s="58">
        <v>36</v>
      </c>
      <c r="M25" s="58">
        <v>15</v>
      </c>
      <c r="N25" s="58">
        <v>356</v>
      </c>
    </row>
    <row r="26" spans="1:14" ht="15.5" x14ac:dyDescent="0.35">
      <c r="A26" s="57" t="s">
        <v>121</v>
      </c>
      <c r="B26" s="58">
        <v>22</v>
      </c>
      <c r="C26" s="58">
        <v>42</v>
      </c>
      <c r="D26" s="58">
        <v>46</v>
      </c>
      <c r="E26" s="58">
        <v>44</v>
      </c>
      <c r="F26" s="58">
        <v>41</v>
      </c>
      <c r="G26" s="58">
        <v>26</v>
      </c>
      <c r="H26" s="58">
        <v>25</v>
      </c>
      <c r="I26" s="58">
        <v>22</v>
      </c>
      <c r="J26" s="58">
        <v>26</v>
      </c>
      <c r="K26" s="58">
        <v>23</v>
      </c>
      <c r="L26" s="58">
        <v>27</v>
      </c>
      <c r="M26" s="58">
        <v>24</v>
      </c>
      <c r="N26" s="58">
        <v>368</v>
      </c>
    </row>
    <row r="27" spans="1:14" ht="15.5" x14ac:dyDescent="0.35">
      <c r="A27" s="57" t="s">
        <v>122</v>
      </c>
      <c r="B27" s="58">
        <v>30</v>
      </c>
      <c r="C27" s="58">
        <v>43</v>
      </c>
      <c r="D27" s="58">
        <v>52</v>
      </c>
      <c r="E27" s="58">
        <v>43</v>
      </c>
      <c r="F27" s="58">
        <v>37</v>
      </c>
      <c r="G27" s="58">
        <v>31</v>
      </c>
      <c r="H27" s="58">
        <v>18</v>
      </c>
      <c r="I27" s="58">
        <v>38</v>
      </c>
      <c r="J27" s="58">
        <v>21</v>
      </c>
      <c r="K27" s="58">
        <v>21</v>
      </c>
      <c r="L27" s="58">
        <v>35</v>
      </c>
      <c r="M27" s="58">
        <v>29</v>
      </c>
      <c r="N27" s="58">
        <v>398</v>
      </c>
    </row>
    <row r="28" spans="1:14" ht="15.5" x14ac:dyDescent="0.35">
      <c r="A28" s="57" t="s">
        <v>123</v>
      </c>
      <c r="B28" s="58">
        <v>21</v>
      </c>
      <c r="C28" s="58">
        <v>51</v>
      </c>
      <c r="D28" s="58">
        <v>42</v>
      </c>
      <c r="E28" s="58">
        <v>35</v>
      </c>
      <c r="F28" s="58">
        <v>37</v>
      </c>
      <c r="G28" s="58">
        <v>31</v>
      </c>
      <c r="H28" s="58">
        <v>30</v>
      </c>
      <c r="I28" s="58">
        <v>24</v>
      </c>
      <c r="J28" s="58">
        <v>21</v>
      </c>
      <c r="K28" s="58">
        <v>21</v>
      </c>
      <c r="L28" s="58">
        <v>26</v>
      </c>
      <c r="M28" s="58">
        <v>24</v>
      </c>
      <c r="N28" s="58">
        <v>363</v>
      </c>
    </row>
    <row r="29" spans="1:14" ht="15.5" x14ac:dyDescent="0.35">
      <c r="A29" s="57" t="s">
        <v>124</v>
      </c>
      <c r="B29" s="58">
        <v>27</v>
      </c>
      <c r="C29" s="58">
        <v>56</v>
      </c>
      <c r="D29" s="58">
        <v>53</v>
      </c>
      <c r="E29" s="58">
        <v>38</v>
      </c>
      <c r="F29" s="58">
        <v>37</v>
      </c>
      <c r="G29" s="58">
        <v>27</v>
      </c>
      <c r="H29" s="58">
        <v>16</v>
      </c>
      <c r="I29" s="58">
        <v>24</v>
      </c>
      <c r="J29" s="58">
        <v>22</v>
      </c>
      <c r="K29" s="58">
        <v>15</v>
      </c>
      <c r="L29" s="58">
        <v>17</v>
      </c>
      <c r="M29" s="58">
        <v>35</v>
      </c>
      <c r="N29" s="58">
        <v>367</v>
      </c>
    </row>
    <row r="30" spans="1:14" ht="15.5" x14ac:dyDescent="0.35">
      <c r="A30" s="57" t="s">
        <v>125</v>
      </c>
      <c r="B30" s="58">
        <v>32</v>
      </c>
      <c r="C30" s="58">
        <v>54</v>
      </c>
      <c r="D30" s="58">
        <v>30</v>
      </c>
      <c r="E30" s="58">
        <v>47</v>
      </c>
      <c r="F30" s="58">
        <v>26</v>
      </c>
      <c r="G30" s="58">
        <v>22</v>
      </c>
      <c r="H30" s="58">
        <v>18</v>
      </c>
      <c r="I30" s="58">
        <v>20</v>
      </c>
      <c r="J30" s="58">
        <v>25</v>
      </c>
      <c r="K30" s="58">
        <v>9</v>
      </c>
      <c r="L30" s="58">
        <v>7</v>
      </c>
      <c r="M30" s="58">
        <v>23</v>
      </c>
      <c r="N30" s="58">
        <v>313</v>
      </c>
    </row>
    <row r="31" spans="1:14" ht="15.5" x14ac:dyDescent="0.35">
      <c r="A31" s="60" t="s">
        <v>180</v>
      </c>
      <c r="B31" s="58">
        <v>1</v>
      </c>
      <c r="C31" s="58">
        <v>8</v>
      </c>
      <c r="D31" s="58">
        <v>8</v>
      </c>
      <c r="E31" s="58">
        <v>7</v>
      </c>
      <c r="F31" s="58">
        <v>7</v>
      </c>
      <c r="G31" s="58">
        <v>6</v>
      </c>
      <c r="H31" s="58">
        <v>8</v>
      </c>
      <c r="I31" s="58">
        <v>4</v>
      </c>
      <c r="J31" s="58">
        <v>4</v>
      </c>
      <c r="K31" s="58">
        <v>4</v>
      </c>
      <c r="L31" s="58">
        <v>4</v>
      </c>
      <c r="M31" s="58">
        <v>13</v>
      </c>
      <c r="N31" s="58">
        <v>74</v>
      </c>
    </row>
    <row r="32" spans="1:14" ht="15.5" x14ac:dyDescent="0.35">
      <c r="A32" s="60" t="s">
        <v>16</v>
      </c>
      <c r="B32" s="58">
        <v>356</v>
      </c>
      <c r="C32" s="58">
        <v>805</v>
      </c>
      <c r="D32" s="58">
        <v>793</v>
      </c>
      <c r="E32" s="58">
        <v>697</v>
      </c>
      <c r="F32" s="58">
        <v>610</v>
      </c>
      <c r="G32" s="58">
        <v>464</v>
      </c>
      <c r="H32" s="58">
        <v>410</v>
      </c>
      <c r="I32" s="58">
        <v>501</v>
      </c>
      <c r="J32" s="58">
        <v>433</v>
      </c>
      <c r="K32" s="58">
        <v>377</v>
      </c>
      <c r="L32" s="58">
        <v>589</v>
      </c>
      <c r="M32" s="58">
        <v>332</v>
      </c>
      <c r="N32" s="58">
        <v>6367</v>
      </c>
    </row>
    <row r="33" ht="5.25" customHeight="1" x14ac:dyDescent="0.35"/>
  </sheetData>
  <pageMargins left="0.55000000000000004" right="0.55000000000000004" top="0.55000000000000004" bottom="0.55000000000000004" header="0.3" footer="0.3"/>
  <pageSetup scale="64" fitToHeight="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8244-4004-44B1-BE18-7DD32F5B65D2}">
  <sheetPr>
    <pageSetUpPr fitToPage="1"/>
  </sheetPr>
  <dimension ref="A1:N33"/>
  <sheetViews>
    <sheetView workbookViewId="0">
      <selection activeCell="A2" sqref="A2"/>
    </sheetView>
  </sheetViews>
  <sheetFormatPr defaultRowHeight="14.5" x14ac:dyDescent="0.35"/>
  <cols>
    <col min="1" max="1" width="26.26953125" bestFit="1" customWidth="1"/>
    <col min="2" max="11" width="8.453125" bestFit="1" customWidth="1"/>
    <col min="12" max="12" width="15.1796875" bestFit="1" customWidth="1"/>
    <col min="13" max="13" width="13.7265625" bestFit="1" customWidth="1"/>
    <col min="14" max="14" width="9.7265625" bestFit="1" customWidth="1"/>
    <col min="15" max="19" width="5.54296875" bestFit="1" customWidth="1"/>
    <col min="20" max="21" width="7" bestFit="1" customWidth="1"/>
    <col min="22" max="22" width="14.1796875" bestFit="1" customWidth="1"/>
    <col min="23" max="23" width="10.453125" bestFit="1" customWidth="1"/>
    <col min="24" max="28" width="4.1796875" bestFit="1" customWidth="1"/>
    <col min="29" max="38" width="5.54296875" bestFit="1" customWidth="1"/>
    <col min="39" max="44" width="7" bestFit="1" customWidth="1"/>
    <col min="45" max="48" width="8.453125" bestFit="1" customWidth="1"/>
    <col min="49" max="50" width="9.81640625" bestFit="1" customWidth="1"/>
    <col min="51" max="51" width="15.26953125" bestFit="1" customWidth="1"/>
    <col min="52" max="52" width="9.81640625" bestFit="1" customWidth="1"/>
    <col min="53" max="53" width="11" bestFit="1" customWidth="1"/>
    <col min="54" max="54" width="6.26953125" bestFit="1" customWidth="1"/>
    <col min="55" max="55" width="11" bestFit="1" customWidth="1"/>
    <col min="56" max="56" width="6.26953125" bestFit="1" customWidth="1"/>
    <col min="57" max="57" width="11" bestFit="1" customWidth="1"/>
    <col min="58" max="58" width="9.7265625" bestFit="1" customWidth="1"/>
    <col min="59" max="59" width="12.453125" bestFit="1" customWidth="1"/>
    <col min="60" max="60" width="9.7265625" bestFit="1" customWidth="1"/>
    <col min="61" max="61" width="12.453125" bestFit="1" customWidth="1"/>
    <col min="62" max="62" width="9.7265625" bestFit="1" customWidth="1"/>
    <col min="63" max="63" width="12.453125" bestFit="1" customWidth="1"/>
    <col min="64" max="64" width="7.7265625" bestFit="1" customWidth="1"/>
    <col min="65" max="65" width="12.453125" bestFit="1" customWidth="1"/>
    <col min="66" max="66" width="7.7265625" bestFit="1" customWidth="1"/>
    <col min="67" max="67" width="12.453125" bestFit="1" customWidth="1"/>
    <col min="68" max="68" width="7.7265625" bestFit="1" customWidth="1"/>
    <col min="69" max="69" width="12.453125" bestFit="1" customWidth="1"/>
    <col min="70" max="70" width="7.7265625" bestFit="1" customWidth="1"/>
    <col min="71" max="71" width="12.453125" bestFit="1" customWidth="1"/>
    <col min="72" max="72" width="9.7265625" bestFit="1" customWidth="1"/>
    <col min="73" max="73" width="12.453125" bestFit="1" customWidth="1"/>
    <col min="74" max="74" width="9.7265625" bestFit="1" customWidth="1"/>
    <col min="75" max="75" width="12.453125" bestFit="1" customWidth="1"/>
    <col min="76" max="76" width="9.7265625" bestFit="1" customWidth="1"/>
    <col min="77" max="77" width="12.453125" bestFit="1" customWidth="1"/>
    <col min="79" max="79" width="14" bestFit="1" customWidth="1"/>
    <col min="81" max="81" width="14" bestFit="1" customWidth="1"/>
    <col min="82" max="82" width="9.7265625" bestFit="1" customWidth="1"/>
    <col min="83" max="83" width="14" bestFit="1" customWidth="1"/>
    <col min="84" max="84" width="9.7265625" bestFit="1" customWidth="1"/>
    <col min="85" max="85" width="14" bestFit="1" customWidth="1"/>
    <col min="86" max="86" width="9.7265625" bestFit="1" customWidth="1"/>
    <col min="87" max="87" width="14" bestFit="1" customWidth="1"/>
    <col min="89" max="89" width="14" bestFit="1" customWidth="1"/>
    <col min="90" max="90" width="10.54296875" bestFit="1" customWidth="1"/>
    <col min="91" max="91" width="15.453125" bestFit="1" customWidth="1"/>
    <col min="92" max="92" width="10.54296875" bestFit="1" customWidth="1"/>
    <col min="93" max="93" width="15.453125" bestFit="1" customWidth="1"/>
    <col min="94" max="94" width="10.54296875" bestFit="1" customWidth="1"/>
    <col min="95" max="95" width="15.453125" bestFit="1" customWidth="1"/>
    <col min="96" max="96" width="10.54296875" bestFit="1" customWidth="1"/>
    <col min="97" max="97" width="15.453125" bestFit="1" customWidth="1"/>
    <col min="98" max="98" width="12" bestFit="1" customWidth="1"/>
    <col min="99" max="99" width="16.81640625" bestFit="1" customWidth="1"/>
    <col min="100" max="100" width="12" bestFit="1" customWidth="1"/>
    <col min="101" max="101" width="16.81640625" bestFit="1" customWidth="1"/>
    <col min="102" max="102" width="15.26953125" bestFit="1" customWidth="1"/>
  </cols>
  <sheetData>
    <row r="1" spans="1:14" ht="17.5" x14ac:dyDescent="0.35">
      <c r="A1" s="1" t="str">
        <f>Parameters!$A$59</f>
        <v>TABLE 3E DRIVERS IN INJURY CRASHES BY AGE BY HOUR OF DAY - 2021</v>
      </c>
    </row>
    <row r="3" spans="1:14" ht="15.5" x14ac:dyDescent="0.35">
      <c r="A3" s="56" t="s">
        <v>15</v>
      </c>
      <c r="B3" s="65" t="s">
        <v>15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ht="15.5" x14ac:dyDescent="0.35">
      <c r="A4" s="67" t="s">
        <v>190</v>
      </c>
      <c r="B4" s="62" t="s">
        <v>100</v>
      </c>
      <c r="C4" s="62" t="s">
        <v>30</v>
      </c>
      <c r="D4" s="62" t="s">
        <v>31</v>
      </c>
      <c r="E4" s="62" t="s">
        <v>32</v>
      </c>
      <c r="F4" s="62" t="s">
        <v>33</v>
      </c>
      <c r="G4" s="62" t="s">
        <v>34</v>
      </c>
      <c r="H4" s="62" t="s">
        <v>35</v>
      </c>
      <c r="I4" s="62" t="s">
        <v>36</v>
      </c>
      <c r="J4" s="62" t="s">
        <v>37</v>
      </c>
      <c r="K4" s="62" t="s">
        <v>38</v>
      </c>
      <c r="L4" s="62" t="s">
        <v>101</v>
      </c>
      <c r="M4" s="62" t="s">
        <v>153</v>
      </c>
      <c r="N4" s="62" t="s">
        <v>16</v>
      </c>
    </row>
    <row r="5" spans="1:14" ht="15.5" x14ac:dyDescent="0.35">
      <c r="A5" s="60" t="s">
        <v>191</v>
      </c>
      <c r="B5" s="58">
        <v>4780</v>
      </c>
      <c r="C5" s="58">
        <v>12275</v>
      </c>
      <c r="D5" s="58">
        <v>12637</v>
      </c>
      <c r="E5" s="58">
        <v>10851</v>
      </c>
      <c r="F5" s="58">
        <v>8955</v>
      </c>
      <c r="G5" s="58">
        <v>7739</v>
      </c>
      <c r="H5" s="58">
        <v>6648</v>
      </c>
      <c r="I5" s="58">
        <v>6472</v>
      </c>
      <c r="J5" s="58">
        <v>5877</v>
      </c>
      <c r="K5" s="58">
        <v>4804</v>
      </c>
      <c r="L5" s="58">
        <v>8042</v>
      </c>
      <c r="M5" s="58">
        <v>5201</v>
      </c>
      <c r="N5" s="58">
        <v>94281</v>
      </c>
    </row>
    <row r="6" spans="1:14" ht="15.5" x14ac:dyDescent="0.35">
      <c r="A6" s="57" t="s">
        <v>102</v>
      </c>
      <c r="B6" s="58">
        <v>409</v>
      </c>
      <c r="C6" s="58">
        <v>1004</v>
      </c>
      <c r="D6" s="58">
        <v>930</v>
      </c>
      <c r="E6" s="58">
        <v>703</v>
      </c>
      <c r="F6" s="58">
        <v>461</v>
      </c>
      <c r="G6" s="58">
        <v>348</v>
      </c>
      <c r="H6" s="58">
        <v>274</v>
      </c>
      <c r="I6" s="58">
        <v>266</v>
      </c>
      <c r="J6" s="58">
        <v>193</v>
      </c>
      <c r="K6" s="58">
        <v>132</v>
      </c>
      <c r="L6" s="58">
        <v>147</v>
      </c>
      <c r="M6" s="58">
        <v>489</v>
      </c>
      <c r="N6" s="58">
        <v>5356</v>
      </c>
    </row>
    <row r="7" spans="1:14" ht="15.5" x14ac:dyDescent="0.35">
      <c r="A7" s="57" t="s">
        <v>103</v>
      </c>
      <c r="B7" s="58">
        <v>303</v>
      </c>
      <c r="C7" s="58">
        <v>947</v>
      </c>
      <c r="D7" s="58">
        <v>851</v>
      </c>
      <c r="E7" s="58">
        <v>591</v>
      </c>
      <c r="F7" s="58">
        <v>415</v>
      </c>
      <c r="G7" s="58">
        <v>309</v>
      </c>
      <c r="H7" s="58">
        <v>207</v>
      </c>
      <c r="I7" s="58">
        <v>176</v>
      </c>
      <c r="J7" s="58">
        <v>177</v>
      </c>
      <c r="K7" s="58">
        <v>99</v>
      </c>
      <c r="L7" s="58">
        <v>103</v>
      </c>
      <c r="M7" s="58">
        <v>415</v>
      </c>
      <c r="N7" s="58">
        <v>4593</v>
      </c>
    </row>
    <row r="8" spans="1:14" ht="15.5" x14ac:dyDescent="0.35">
      <c r="A8" s="57" t="s">
        <v>104</v>
      </c>
      <c r="B8" s="58">
        <v>236</v>
      </c>
      <c r="C8" s="58">
        <v>866</v>
      </c>
      <c r="D8" s="58">
        <v>846</v>
      </c>
      <c r="E8" s="58">
        <v>542</v>
      </c>
      <c r="F8" s="58">
        <v>383</v>
      </c>
      <c r="G8" s="58">
        <v>289</v>
      </c>
      <c r="H8" s="58">
        <v>220</v>
      </c>
      <c r="I8" s="58">
        <v>201</v>
      </c>
      <c r="J8" s="58">
        <v>141</v>
      </c>
      <c r="K8" s="58">
        <v>107</v>
      </c>
      <c r="L8" s="58">
        <v>84</v>
      </c>
      <c r="M8" s="58">
        <v>404</v>
      </c>
      <c r="N8" s="58">
        <v>4319</v>
      </c>
    </row>
    <row r="9" spans="1:14" ht="15.5" x14ac:dyDescent="0.35">
      <c r="A9" s="57" t="s">
        <v>105</v>
      </c>
      <c r="B9" s="58">
        <v>171</v>
      </c>
      <c r="C9" s="58">
        <v>581</v>
      </c>
      <c r="D9" s="58">
        <v>567</v>
      </c>
      <c r="E9" s="58">
        <v>395</v>
      </c>
      <c r="F9" s="58">
        <v>250</v>
      </c>
      <c r="G9" s="58">
        <v>187</v>
      </c>
      <c r="H9" s="58">
        <v>178</v>
      </c>
      <c r="I9" s="58">
        <v>158</v>
      </c>
      <c r="J9" s="58">
        <v>152</v>
      </c>
      <c r="K9" s="58">
        <v>88</v>
      </c>
      <c r="L9" s="58">
        <v>90</v>
      </c>
      <c r="M9" s="58">
        <v>249</v>
      </c>
      <c r="N9" s="58">
        <v>3066</v>
      </c>
    </row>
    <row r="10" spans="1:14" ht="15.5" x14ac:dyDescent="0.35">
      <c r="A10" s="57" t="s">
        <v>106</v>
      </c>
      <c r="B10" s="58">
        <v>174</v>
      </c>
      <c r="C10" s="58">
        <v>537</v>
      </c>
      <c r="D10" s="58">
        <v>517</v>
      </c>
      <c r="E10" s="58">
        <v>382</v>
      </c>
      <c r="F10" s="58">
        <v>309</v>
      </c>
      <c r="G10" s="58">
        <v>281</v>
      </c>
      <c r="H10" s="58">
        <v>234</v>
      </c>
      <c r="I10" s="58">
        <v>229</v>
      </c>
      <c r="J10" s="58">
        <v>189</v>
      </c>
      <c r="K10" s="58">
        <v>152</v>
      </c>
      <c r="L10" s="58">
        <v>137</v>
      </c>
      <c r="M10" s="58">
        <v>246</v>
      </c>
      <c r="N10" s="58">
        <v>3387</v>
      </c>
    </row>
    <row r="11" spans="1:14" ht="15.5" x14ac:dyDescent="0.35">
      <c r="A11" s="57" t="s">
        <v>107</v>
      </c>
      <c r="B11" s="58">
        <v>224</v>
      </c>
      <c r="C11" s="58">
        <v>694</v>
      </c>
      <c r="D11" s="58">
        <v>719</v>
      </c>
      <c r="E11" s="58">
        <v>623</v>
      </c>
      <c r="F11" s="58">
        <v>486</v>
      </c>
      <c r="G11" s="58">
        <v>509</v>
      </c>
      <c r="H11" s="58">
        <v>405</v>
      </c>
      <c r="I11" s="58">
        <v>423</v>
      </c>
      <c r="J11" s="58">
        <v>390</v>
      </c>
      <c r="K11" s="58">
        <v>305</v>
      </c>
      <c r="L11" s="58">
        <v>283</v>
      </c>
      <c r="M11" s="58">
        <v>338</v>
      </c>
      <c r="N11" s="58">
        <v>5399</v>
      </c>
    </row>
    <row r="12" spans="1:14" ht="15.5" x14ac:dyDescent="0.35">
      <c r="A12" s="57" t="s">
        <v>108</v>
      </c>
      <c r="B12" s="58">
        <v>333</v>
      </c>
      <c r="C12" s="58">
        <v>976</v>
      </c>
      <c r="D12" s="58">
        <v>1089</v>
      </c>
      <c r="E12" s="58">
        <v>921</v>
      </c>
      <c r="F12" s="58">
        <v>774</v>
      </c>
      <c r="G12" s="58">
        <v>702</v>
      </c>
      <c r="H12" s="58">
        <v>602</v>
      </c>
      <c r="I12" s="58">
        <v>601</v>
      </c>
      <c r="J12" s="58">
        <v>525</v>
      </c>
      <c r="K12" s="58">
        <v>391</v>
      </c>
      <c r="L12" s="58">
        <v>431</v>
      </c>
      <c r="M12" s="58">
        <v>363</v>
      </c>
      <c r="N12" s="58">
        <v>7708</v>
      </c>
    </row>
    <row r="13" spans="1:14" ht="15.5" x14ac:dyDescent="0.35">
      <c r="A13" s="57" t="s">
        <v>109</v>
      </c>
      <c r="B13" s="58">
        <v>602</v>
      </c>
      <c r="C13" s="58">
        <v>1320</v>
      </c>
      <c r="D13" s="58">
        <v>1587</v>
      </c>
      <c r="E13" s="58">
        <v>1445</v>
      </c>
      <c r="F13" s="58">
        <v>1207</v>
      </c>
      <c r="G13" s="58">
        <v>1094</v>
      </c>
      <c r="H13" s="58">
        <v>935</v>
      </c>
      <c r="I13" s="58">
        <v>895</v>
      </c>
      <c r="J13" s="58">
        <v>772</v>
      </c>
      <c r="K13" s="58">
        <v>597</v>
      </c>
      <c r="L13" s="58">
        <v>780</v>
      </c>
      <c r="M13" s="58">
        <v>501</v>
      </c>
      <c r="N13" s="58">
        <v>11735</v>
      </c>
    </row>
    <row r="14" spans="1:14" ht="15.5" x14ac:dyDescent="0.35">
      <c r="A14" s="57" t="s">
        <v>110</v>
      </c>
      <c r="B14" s="58">
        <v>553</v>
      </c>
      <c r="C14" s="58">
        <v>1301</v>
      </c>
      <c r="D14" s="58">
        <v>1452</v>
      </c>
      <c r="E14" s="58">
        <v>1496</v>
      </c>
      <c r="F14" s="58">
        <v>1272</v>
      </c>
      <c r="G14" s="58">
        <v>1165</v>
      </c>
      <c r="H14" s="58">
        <v>974</v>
      </c>
      <c r="I14" s="58">
        <v>931</v>
      </c>
      <c r="J14" s="58">
        <v>812</v>
      </c>
      <c r="K14" s="58">
        <v>617</v>
      </c>
      <c r="L14" s="58">
        <v>1047</v>
      </c>
      <c r="M14" s="58">
        <v>562</v>
      </c>
      <c r="N14" s="58">
        <v>12182</v>
      </c>
    </row>
    <row r="15" spans="1:14" ht="15.5" x14ac:dyDescent="0.35">
      <c r="A15" s="57" t="s">
        <v>111</v>
      </c>
      <c r="B15" s="58">
        <v>441</v>
      </c>
      <c r="C15" s="58">
        <v>1168</v>
      </c>
      <c r="D15" s="58">
        <v>1177</v>
      </c>
      <c r="E15" s="58">
        <v>1076</v>
      </c>
      <c r="F15" s="58">
        <v>983</v>
      </c>
      <c r="G15" s="58">
        <v>863</v>
      </c>
      <c r="H15" s="58">
        <v>773</v>
      </c>
      <c r="I15" s="58">
        <v>765</v>
      </c>
      <c r="J15" s="58">
        <v>715</v>
      </c>
      <c r="K15" s="58">
        <v>672</v>
      </c>
      <c r="L15" s="58">
        <v>1298</v>
      </c>
      <c r="M15" s="58">
        <v>466</v>
      </c>
      <c r="N15" s="58">
        <v>10397</v>
      </c>
    </row>
    <row r="16" spans="1:14" ht="15.5" x14ac:dyDescent="0.35">
      <c r="A16" s="57" t="s">
        <v>112</v>
      </c>
      <c r="B16" s="58">
        <v>587</v>
      </c>
      <c r="C16" s="58">
        <v>1316</v>
      </c>
      <c r="D16" s="58">
        <v>1328</v>
      </c>
      <c r="E16" s="58">
        <v>1227</v>
      </c>
      <c r="F16" s="58">
        <v>1124</v>
      </c>
      <c r="G16" s="58">
        <v>952</v>
      </c>
      <c r="H16" s="58">
        <v>844</v>
      </c>
      <c r="I16" s="58">
        <v>842</v>
      </c>
      <c r="J16" s="58">
        <v>849</v>
      </c>
      <c r="K16" s="58">
        <v>765</v>
      </c>
      <c r="L16" s="58">
        <v>1715</v>
      </c>
      <c r="M16" s="58">
        <v>521</v>
      </c>
      <c r="N16" s="58">
        <v>12070</v>
      </c>
    </row>
    <row r="17" spans="1:14" ht="15.5" x14ac:dyDescent="0.35">
      <c r="A17" s="57" t="s">
        <v>113</v>
      </c>
      <c r="B17" s="58">
        <v>747</v>
      </c>
      <c r="C17" s="58">
        <v>1565</v>
      </c>
      <c r="D17" s="58">
        <v>1574</v>
      </c>
      <c r="E17" s="58">
        <v>1450</v>
      </c>
      <c r="F17" s="58">
        <v>1291</v>
      </c>
      <c r="G17" s="58">
        <v>1040</v>
      </c>
      <c r="H17" s="58">
        <v>1002</v>
      </c>
      <c r="I17" s="58">
        <v>985</v>
      </c>
      <c r="J17" s="58">
        <v>962</v>
      </c>
      <c r="K17" s="58">
        <v>879</v>
      </c>
      <c r="L17" s="58">
        <v>1927</v>
      </c>
      <c r="M17" s="58">
        <v>647</v>
      </c>
      <c r="N17" s="58">
        <v>14069</v>
      </c>
    </row>
    <row r="18" spans="1:14" ht="15.5" x14ac:dyDescent="0.35">
      <c r="A18" s="60" t="s">
        <v>192</v>
      </c>
      <c r="B18" s="58">
        <v>13246</v>
      </c>
      <c r="C18" s="58">
        <v>25556</v>
      </c>
      <c r="D18" s="58">
        <v>24214</v>
      </c>
      <c r="E18" s="58">
        <v>21558</v>
      </c>
      <c r="F18" s="58">
        <v>17865</v>
      </c>
      <c r="G18" s="58">
        <v>15460</v>
      </c>
      <c r="H18" s="58">
        <v>13408</v>
      </c>
      <c r="I18" s="58">
        <v>13090</v>
      </c>
      <c r="J18" s="58">
        <v>11893</v>
      </c>
      <c r="K18" s="58">
        <v>9598</v>
      </c>
      <c r="L18" s="58">
        <v>16651</v>
      </c>
      <c r="M18" s="58">
        <v>11805</v>
      </c>
      <c r="N18" s="58">
        <v>194344</v>
      </c>
    </row>
    <row r="19" spans="1:14" ht="15.5" x14ac:dyDescent="0.35">
      <c r="A19" s="57" t="s">
        <v>114</v>
      </c>
      <c r="B19" s="58">
        <v>977</v>
      </c>
      <c r="C19" s="58">
        <v>1966</v>
      </c>
      <c r="D19" s="58">
        <v>1856</v>
      </c>
      <c r="E19" s="58">
        <v>1755</v>
      </c>
      <c r="F19" s="58">
        <v>1434</v>
      </c>
      <c r="G19" s="58">
        <v>1259</v>
      </c>
      <c r="H19" s="58">
        <v>1170</v>
      </c>
      <c r="I19" s="58">
        <v>1132</v>
      </c>
      <c r="J19" s="58">
        <v>1118</v>
      </c>
      <c r="K19" s="58">
        <v>985</v>
      </c>
      <c r="L19" s="58">
        <v>2108</v>
      </c>
      <c r="M19" s="58">
        <v>732</v>
      </c>
      <c r="N19" s="58">
        <v>16492</v>
      </c>
    </row>
    <row r="20" spans="1:14" ht="15.5" x14ac:dyDescent="0.35">
      <c r="A20" s="57" t="s">
        <v>115</v>
      </c>
      <c r="B20" s="58">
        <v>1049</v>
      </c>
      <c r="C20" s="58">
        <v>2002</v>
      </c>
      <c r="D20" s="58">
        <v>2007</v>
      </c>
      <c r="E20" s="58">
        <v>1778</v>
      </c>
      <c r="F20" s="58">
        <v>1503</v>
      </c>
      <c r="G20" s="58">
        <v>1354</v>
      </c>
      <c r="H20" s="58">
        <v>1201</v>
      </c>
      <c r="I20" s="58">
        <v>1206</v>
      </c>
      <c r="J20" s="58">
        <v>1233</v>
      </c>
      <c r="K20" s="58">
        <v>1019</v>
      </c>
      <c r="L20" s="58">
        <v>2104</v>
      </c>
      <c r="M20" s="58">
        <v>818</v>
      </c>
      <c r="N20" s="58">
        <v>17274</v>
      </c>
    </row>
    <row r="21" spans="1:14" ht="15.5" x14ac:dyDescent="0.35">
      <c r="A21" s="57" t="s">
        <v>116</v>
      </c>
      <c r="B21" s="58">
        <v>1252</v>
      </c>
      <c r="C21" s="58">
        <v>2383</v>
      </c>
      <c r="D21" s="58">
        <v>2164</v>
      </c>
      <c r="E21" s="58">
        <v>1953</v>
      </c>
      <c r="F21" s="58">
        <v>1903</v>
      </c>
      <c r="G21" s="58">
        <v>1638</v>
      </c>
      <c r="H21" s="58">
        <v>1440</v>
      </c>
      <c r="I21" s="58">
        <v>1447</v>
      </c>
      <c r="J21" s="58">
        <v>1353</v>
      </c>
      <c r="K21" s="58">
        <v>1171</v>
      </c>
      <c r="L21" s="58">
        <v>2264</v>
      </c>
      <c r="M21" s="58">
        <v>924</v>
      </c>
      <c r="N21" s="58">
        <v>19892</v>
      </c>
    </row>
    <row r="22" spans="1:14" ht="15.5" x14ac:dyDescent="0.35">
      <c r="A22" s="57" t="s">
        <v>117</v>
      </c>
      <c r="B22" s="58">
        <v>1540</v>
      </c>
      <c r="C22" s="58">
        <v>2711</v>
      </c>
      <c r="D22" s="58">
        <v>2574</v>
      </c>
      <c r="E22" s="58">
        <v>2452</v>
      </c>
      <c r="F22" s="58">
        <v>2218</v>
      </c>
      <c r="G22" s="58">
        <v>1933</v>
      </c>
      <c r="H22" s="58">
        <v>1688</v>
      </c>
      <c r="I22" s="58">
        <v>1664</v>
      </c>
      <c r="J22" s="58">
        <v>1462</v>
      </c>
      <c r="K22" s="58">
        <v>1278</v>
      </c>
      <c r="L22" s="58">
        <v>2275</v>
      </c>
      <c r="M22" s="58">
        <v>1147</v>
      </c>
      <c r="N22" s="58">
        <v>22942</v>
      </c>
    </row>
    <row r="23" spans="1:14" ht="15.5" x14ac:dyDescent="0.35">
      <c r="A23" s="57" t="s">
        <v>118</v>
      </c>
      <c r="B23" s="58">
        <v>1396</v>
      </c>
      <c r="C23" s="58">
        <v>2802</v>
      </c>
      <c r="D23" s="58">
        <v>2735</v>
      </c>
      <c r="E23" s="58">
        <v>2372</v>
      </c>
      <c r="F23" s="58">
        <v>2092</v>
      </c>
      <c r="G23" s="58">
        <v>1826</v>
      </c>
      <c r="H23" s="58">
        <v>1631</v>
      </c>
      <c r="I23" s="58">
        <v>1593</v>
      </c>
      <c r="J23" s="58">
        <v>1502</v>
      </c>
      <c r="K23" s="58">
        <v>1098</v>
      </c>
      <c r="L23" s="58">
        <v>1945</v>
      </c>
      <c r="M23" s="58">
        <v>1144</v>
      </c>
      <c r="N23" s="58">
        <v>22136</v>
      </c>
    </row>
    <row r="24" spans="1:14" ht="15.5" x14ac:dyDescent="0.35">
      <c r="A24" s="57" t="s">
        <v>119</v>
      </c>
      <c r="B24" s="58">
        <v>1573</v>
      </c>
      <c r="C24" s="58">
        <v>3054</v>
      </c>
      <c r="D24" s="58">
        <v>2994</v>
      </c>
      <c r="E24" s="58">
        <v>2860</v>
      </c>
      <c r="F24" s="58">
        <v>2265</v>
      </c>
      <c r="G24" s="58">
        <v>2010</v>
      </c>
      <c r="H24" s="58">
        <v>1708</v>
      </c>
      <c r="I24" s="58">
        <v>1678</v>
      </c>
      <c r="J24" s="58">
        <v>1519</v>
      </c>
      <c r="K24" s="58">
        <v>1221</v>
      </c>
      <c r="L24" s="58">
        <v>1958</v>
      </c>
      <c r="M24" s="58">
        <v>1366</v>
      </c>
      <c r="N24" s="58">
        <v>24206</v>
      </c>
    </row>
    <row r="25" spans="1:14" ht="15.5" x14ac:dyDescent="0.35">
      <c r="A25" s="57" t="s">
        <v>120</v>
      </c>
      <c r="B25" s="58">
        <v>1234</v>
      </c>
      <c r="C25" s="58">
        <v>2564</v>
      </c>
      <c r="D25" s="58">
        <v>2451</v>
      </c>
      <c r="E25" s="58">
        <v>2213</v>
      </c>
      <c r="F25" s="58">
        <v>1773</v>
      </c>
      <c r="G25" s="58">
        <v>1493</v>
      </c>
      <c r="H25" s="58">
        <v>1351</v>
      </c>
      <c r="I25" s="58">
        <v>1380</v>
      </c>
      <c r="J25" s="58">
        <v>1112</v>
      </c>
      <c r="K25" s="58">
        <v>872</v>
      </c>
      <c r="L25" s="58">
        <v>1417</v>
      </c>
      <c r="M25" s="58">
        <v>1156</v>
      </c>
      <c r="N25" s="58">
        <v>19016</v>
      </c>
    </row>
    <row r="26" spans="1:14" ht="15.5" x14ac:dyDescent="0.35">
      <c r="A26" s="57" t="s">
        <v>121</v>
      </c>
      <c r="B26" s="58">
        <v>1020</v>
      </c>
      <c r="C26" s="58">
        <v>1910</v>
      </c>
      <c r="D26" s="58">
        <v>1791</v>
      </c>
      <c r="E26" s="58">
        <v>1576</v>
      </c>
      <c r="F26" s="58">
        <v>1274</v>
      </c>
      <c r="G26" s="58">
        <v>1040</v>
      </c>
      <c r="H26" s="58">
        <v>867</v>
      </c>
      <c r="I26" s="58">
        <v>847</v>
      </c>
      <c r="J26" s="58">
        <v>754</v>
      </c>
      <c r="K26" s="58">
        <v>562</v>
      </c>
      <c r="L26" s="58">
        <v>890</v>
      </c>
      <c r="M26" s="58">
        <v>1038</v>
      </c>
      <c r="N26" s="58">
        <v>13569</v>
      </c>
    </row>
    <row r="27" spans="1:14" ht="15.5" x14ac:dyDescent="0.35">
      <c r="A27" s="57" t="s">
        <v>122</v>
      </c>
      <c r="B27" s="58">
        <v>958</v>
      </c>
      <c r="C27" s="58">
        <v>1739</v>
      </c>
      <c r="D27" s="58">
        <v>1635</v>
      </c>
      <c r="E27" s="58">
        <v>1374</v>
      </c>
      <c r="F27" s="58">
        <v>1075</v>
      </c>
      <c r="G27" s="58">
        <v>948</v>
      </c>
      <c r="H27" s="58">
        <v>773</v>
      </c>
      <c r="I27" s="58">
        <v>699</v>
      </c>
      <c r="J27" s="58">
        <v>628</v>
      </c>
      <c r="K27" s="58">
        <v>458</v>
      </c>
      <c r="L27" s="58">
        <v>668</v>
      </c>
      <c r="M27" s="58">
        <v>1036</v>
      </c>
      <c r="N27" s="58">
        <v>11991</v>
      </c>
    </row>
    <row r="28" spans="1:14" ht="15.5" x14ac:dyDescent="0.35">
      <c r="A28" s="57" t="s">
        <v>123</v>
      </c>
      <c r="B28" s="58">
        <v>912</v>
      </c>
      <c r="C28" s="58">
        <v>1677</v>
      </c>
      <c r="D28" s="58">
        <v>1580</v>
      </c>
      <c r="E28" s="58">
        <v>1288</v>
      </c>
      <c r="F28" s="58">
        <v>940</v>
      </c>
      <c r="G28" s="58">
        <v>785</v>
      </c>
      <c r="H28" s="58">
        <v>664</v>
      </c>
      <c r="I28" s="58">
        <v>576</v>
      </c>
      <c r="J28" s="58">
        <v>547</v>
      </c>
      <c r="K28" s="58">
        <v>417</v>
      </c>
      <c r="L28" s="58">
        <v>500</v>
      </c>
      <c r="M28" s="58">
        <v>946</v>
      </c>
      <c r="N28" s="58">
        <v>10832</v>
      </c>
    </row>
    <row r="29" spans="1:14" ht="15.5" x14ac:dyDescent="0.35">
      <c r="A29" s="57" t="s">
        <v>124</v>
      </c>
      <c r="B29" s="58">
        <v>739</v>
      </c>
      <c r="C29" s="58">
        <v>1502</v>
      </c>
      <c r="D29" s="58">
        <v>1323</v>
      </c>
      <c r="E29" s="58">
        <v>1061</v>
      </c>
      <c r="F29" s="58">
        <v>772</v>
      </c>
      <c r="G29" s="58">
        <v>661</v>
      </c>
      <c r="H29" s="58">
        <v>537</v>
      </c>
      <c r="I29" s="58">
        <v>489</v>
      </c>
      <c r="J29" s="58">
        <v>370</v>
      </c>
      <c r="K29" s="58">
        <v>309</v>
      </c>
      <c r="L29" s="58">
        <v>310</v>
      </c>
      <c r="M29" s="58">
        <v>846</v>
      </c>
      <c r="N29" s="58">
        <v>8919</v>
      </c>
    </row>
    <row r="30" spans="1:14" ht="15.5" x14ac:dyDescent="0.35">
      <c r="A30" s="57" t="s">
        <v>125</v>
      </c>
      <c r="B30" s="58">
        <v>596</v>
      </c>
      <c r="C30" s="58">
        <v>1246</v>
      </c>
      <c r="D30" s="58">
        <v>1104</v>
      </c>
      <c r="E30" s="58">
        <v>876</v>
      </c>
      <c r="F30" s="58">
        <v>616</v>
      </c>
      <c r="G30" s="58">
        <v>513</v>
      </c>
      <c r="H30" s="58">
        <v>378</v>
      </c>
      <c r="I30" s="58">
        <v>379</v>
      </c>
      <c r="J30" s="58">
        <v>295</v>
      </c>
      <c r="K30" s="58">
        <v>208</v>
      </c>
      <c r="L30" s="58">
        <v>212</v>
      </c>
      <c r="M30" s="58">
        <v>652</v>
      </c>
      <c r="N30" s="58">
        <v>7075</v>
      </c>
    </row>
    <row r="31" spans="1:14" ht="15.5" x14ac:dyDescent="0.35">
      <c r="A31" s="60" t="s">
        <v>180</v>
      </c>
      <c r="B31" s="58">
        <v>23</v>
      </c>
      <c r="C31" s="58">
        <v>54</v>
      </c>
      <c r="D31" s="58">
        <v>40</v>
      </c>
      <c r="E31" s="58">
        <v>37</v>
      </c>
      <c r="F31" s="58">
        <v>36</v>
      </c>
      <c r="G31" s="58">
        <v>27</v>
      </c>
      <c r="H31" s="58">
        <v>19</v>
      </c>
      <c r="I31" s="58">
        <v>28</v>
      </c>
      <c r="J31" s="58">
        <v>18</v>
      </c>
      <c r="K31" s="58">
        <v>19</v>
      </c>
      <c r="L31" s="58">
        <v>26</v>
      </c>
      <c r="M31" s="58">
        <v>66</v>
      </c>
      <c r="N31" s="58">
        <v>393</v>
      </c>
    </row>
    <row r="32" spans="1:14" ht="15.5" x14ac:dyDescent="0.35">
      <c r="A32" s="60" t="s">
        <v>16</v>
      </c>
      <c r="B32" s="58">
        <v>18049</v>
      </c>
      <c r="C32" s="58">
        <v>37885</v>
      </c>
      <c r="D32" s="58">
        <v>36891</v>
      </c>
      <c r="E32" s="58">
        <v>32446</v>
      </c>
      <c r="F32" s="58">
        <v>26856</v>
      </c>
      <c r="G32" s="58">
        <v>23226</v>
      </c>
      <c r="H32" s="58">
        <v>20075</v>
      </c>
      <c r="I32" s="58">
        <v>19590</v>
      </c>
      <c r="J32" s="58">
        <v>17788</v>
      </c>
      <c r="K32" s="58">
        <v>14421</v>
      </c>
      <c r="L32" s="58">
        <v>24719</v>
      </c>
      <c r="M32" s="58">
        <v>17072</v>
      </c>
      <c r="N32" s="58">
        <v>289018</v>
      </c>
    </row>
    <row r="33" ht="5.25" customHeight="1" x14ac:dyDescent="0.35"/>
  </sheetData>
  <pageMargins left="0.55000000000000004" right="0.55000000000000004" top="0.55000000000000004" bottom="0.55000000000000004" header="0.3" footer="0.3"/>
  <pageSetup scale="60" fitToHeight="0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1638-6D00-4EAE-9816-FA1162CF108E}">
  <sheetPr>
    <pageSetUpPr fitToPage="1"/>
  </sheetPr>
  <dimension ref="A1:J27"/>
  <sheetViews>
    <sheetView workbookViewId="0">
      <selection activeCell="A2" sqref="A2"/>
    </sheetView>
  </sheetViews>
  <sheetFormatPr defaultRowHeight="14.5" x14ac:dyDescent="0.35"/>
  <cols>
    <col min="1" max="1" width="36" bestFit="1" customWidth="1"/>
    <col min="2" max="2" width="11.453125" bestFit="1" customWidth="1"/>
    <col min="3" max="3" width="13" bestFit="1" customWidth="1"/>
    <col min="4" max="4" width="11.81640625" bestFit="1" customWidth="1"/>
    <col min="5" max="5" width="12.81640625" bestFit="1" customWidth="1"/>
    <col min="6" max="6" width="13" bestFit="1" customWidth="1"/>
    <col min="7" max="7" width="14.54296875" bestFit="1" customWidth="1"/>
    <col min="8" max="8" width="14" bestFit="1" customWidth="1"/>
    <col min="9" max="9" width="7.81640625" bestFit="1" customWidth="1"/>
    <col min="10" max="10" width="7.453125" bestFit="1" customWidth="1"/>
    <col min="11" max="11" width="8" bestFit="1" customWidth="1"/>
    <col min="12" max="12" width="15.1796875" bestFit="1" customWidth="1"/>
    <col min="13" max="13" width="14" bestFit="1" customWidth="1"/>
    <col min="14" max="14" width="9.1796875" bestFit="1" customWidth="1"/>
    <col min="15" max="19" width="5.54296875" bestFit="1" customWidth="1"/>
    <col min="20" max="21" width="7" bestFit="1" customWidth="1"/>
    <col min="22" max="22" width="14.1796875" bestFit="1" customWidth="1"/>
    <col min="23" max="23" width="10.453125" bestFit="1" customWidth="1"/>
    <col min="24" max="28" width="4.1796875" bestFit="1" customWidth="1"/>
    <col min="29" max="38" width="5.54296875" bestFit="1" customWidth="1"/>
    <col min="39" max="44" width="7" bestFit="1" customWidth="1"/>
    <col min="45" max="48" width="8.453125" bestFit="1" customWidth="1"/>
    <col min="49" max="50" width="9.81640625" bestFit="1" customWidth="1"/>
    <col min="51" max="51" width="15.26953125" bestFit="1" customWidth="1"/>
    <col min="52" max="52" width="9.81640625" bestFit="1" customWidth="1"/>
    <col min="53" max="53" width="11" bestFit="1" customWidth="1"/>
    <col min="54" max="54" width="6.26953125" bestFit="1" customWidth="1"/>
    <col min="55" max="55" width="11" bestFit="1" customWidth="1"/>
    <col min="56" max="56" width="6.26953125" bestFit="1" customWidth="1"/>
    <col min="57" max="57" width="11" bestFit="1" customWidth="1"/>
    <col min="58" max="58" width="9.7265625" bestFit="1" customWidth="1"/>
    <col min="59" max="59" width="12.453125" bestFit="1" customWidth="1"/>
    <col min="60" max="60" width="9.7265625" bestFit="1" customWidth="1"/>
    <col min="61" max="61" width="12.453125" bestFit="1" customWidth="1"/>
    <col min="62" max="62" width="9.7265625" bestFit="1" customWidth="1"/>
    <col min="63" max="63" width="12.453125" bestFit="1" customWidth="1"/>
    <col min="64" max="64" width="7.7265625" bestFit="1" customWidth="1"/>
    <col min="65" max="65" width="12.453125" bestFit="1" customWidth="1"/>
    <col min="66" max="66" width="7.7265625" bestFit="1" customWidth="1"/>
    <col min="67" max="67" width="12.453125" bestFit="1" customWidth="1"/>
    <col min="68" max="68" width="7.7265625" bestFit="1" customWidth="1"/>
    <col min="69" max="69" width="12.453125" bestFit="1" customWidth="1"/>
    <col min="70" max="70" width="7.7265625" bestFit="1" customWidth="1"/>
    <col min="71" max="71" width="12.453125" bestFit="1" customWidth="1"/>
    <col min="72" max="72" width="9.7265625" bestFit="1" customWidth="1"/>
    <col min="73" max="73" width="12.453125" bestFit="1" customWidth="1"/>
    <col min="74" max="74" width="9.7265625" bestFit="1" customWidth="1"/>
    <col min="75" max="75" width="12.453125" bestFit="1" customWidth="1"/>
    <col min="76" max="76" width="9.7265625" bestFit="1" customWidth="1"/>
    <col min="77" max="77" width="12.453125" bestFit="1" customWidth="1"/>
    <col min="79" max="79" width="14" bestFit="1" customWidth="1"/>
    <col min="81" max="81" width="14" bestFit="1" customWidth="1"/>
    <col min="82" max="82" width="9.7265625" bestFit="1" customWidth="1"/>
    <col min="83" max="83" width="14" bestFit="1" customWidth="1"/>
    <col min="84" max="84" width="9.7265625" bestFit="1" customWidth="1"/>
    <col min="85" max="85" width="14" bestFit="1" customWidth="1"/>
    <col min="86" max="86" width="9.7265625" bestFit="1" customWidth="1"/>
    <col min="87" max="87" width="14" bestFit="1" customWidth="1"/>
    <col min="89" max="89" width="14" bestFit="1" customWidth="1"/>
    <col min="90" max="90" width="10.54296875" bestFit="1" customWidth="1"/>
    <col min="91" max="91" width="15.453125" bestFit="1" customWidth="1"/>
    <col min="92" max="92" width="10.54296875" bestFit="1" customWidth="1"/>
    <col min="93" max="93" width="15.453125" bestFit="1" customWidth="1"/>
    <col min="94" max="94" width="10.54296875" bestFit="1" customWidth="1"/>
    <col min="95" max="95" width="15.453125" bestFit="1" customWidth="1"/>
    <col min="96" max="96" width="10.54296875" bestFit="1" customWidth="1"/>
    <col min="97" max="97" width="15.453125" bestFit="1" customWidth="1"/>
    <col min="98" max="98" width="12" bestFit="1" customWidth="1"/>
    <col min="99" max="99" width="16.81640625" bestFit="1" customWidth="1"/>
    <col min="100" max="100" width="12" bestFit="1" customWidth="1"/>
    <col min="101" max="101" width="16.81640625" bestFit="1" customWidth="1"/>
    <col min="102" max="102" width="15.26953125" bestFit="1" customWidth="1"/>
  </cols>
  <sheetData>
    <row r="1" spans="1:10" ht="17.5" x14ac:dyDescent="0.35">
      <c r="A1" s="1" t="str">
        <f>Parameters!$A$78</f>
        <v>TABLE 3F DRIVERS IN FATAL CRASHES BY TYPE OF CRASH BY MOVEMENT PRECEDING CRASH - 2021</v>
      </c>
    </row>
    <row r="3" spans="1:10" ht="15.5" x14ac:dyDescent="0.35">
      <c r="A3" s="56" t="s">
        <v>15</v>
      </c>
      <c r="B3" s="65" t="s">
        <v>15</v>
      </c>
      <c r="C3" s="55"/>
      <c r="D3" s="55"/>
      <c r="E3" s="55"/>
      <c r="F3" s="55"/>
      <c r="G3" s="55"/>
      <c r="H3" s="55"/>
      <c r="I3" s="55"/>
      <c r="J3" s="55"/>
    </row>
    <row r="4" spans="1:10" ht="36" customHeight="1" x14ac:dyDescent="0.35">
      <c r="A4" s="61" t="s">
        <v>193</v>
      </c>
      <c r="B4" s="62" t="s">
        <v>129</v>
      </c>
      <c r="C4" s="62" t="s">
        <v>130</v>
      </c>
      <c r="D4" s="62" t="s">
        <v>131</v>
      </c>
      <c r="E4" s="62" t="s">
        <v>132</v>
      </c>
      <c r="F4" s="62" t="s">
        <v>133</v>
      </c>
      <c r="G4" s="62" t="s">
        <v>134</v>
      </c>
      <c r="H4" s="66" t="s">
        <v>135</v>
      </c>
      <c r="I4" s="62" t="s">
        <v>4</v>
      </c>
      <c r="J4" s="62" t="s">
        <v>16</v>
      </c>
    </row>
    <row r="5" spans="1:10" ht="15.5" x14ac:dyDescent="0.35">
      <c r="A5" s="57" t="s">
        <v>136</v>
      </c>
      <c r="B5" s="58">
        <v>18</v>
      </c>
      <c r="C5" s="58">
        <v>19</v>
      </c>
      <c r="D5" s="58">
        <v>167</v>
      </c>
      <c r="E5" s="58">
        <v>59</v>
      </c>
      <c r="F5" s="58">
        <v>6</v>
      </c>
      <c r="G5" s="58">
        <v>1</v>
      </c>
      <c r="H5" s="58">
        <v>17</v>
      </c>
      <c r="I5" s="58">
        <v>7</v>
      </c>
      <c r="J5" s="58">
        <v>294</v>
      </c>
    </row>
    <row r="6" spans="1:10" ht="15.5" x14ac:dyDescent="0.35">
      <c r="A6" s="57" t="s">
        <v>137</v>
      </c>
      <c r="B6" s="58">
        <v>541</v>
      </c>
      <c r="C6" s="58">
        <v>228</v>
      </c>
      <c r="D6" s="58">
        <v>576</v>
      </c>
      <c r="E6" s="58">
        <v>883</v>
      </c>
      <c r="F6" s="58">
        <v>328</v>
      </c>
      <c r="G6" s="58">
        <v>109</v>
      </c>
      <c r="H6" s="58">
        <v>1076</v>
      </c>
      <c r="I6" s="58">
        <v>90</v>
      </c>
      <c r="J6" s="58">
        <v>3831</v>
      </c>
    </row>
    <row r="7" spans="1:10" ht="15.5" x14ac:dyDescent="0.35">
      <c r="A7" s="57" t="s">
        <v>138</v>
      </c>
      <c r="B7" s="58">
        <v>13</v>
      </c>
      <c r="C7" s="58">
        <v>2</v>
      </c>
      <c r="D7" s="58">
        <v>7</v>
      </c>
      <c r="E7" s="58">
        <v>7</v>
      </c>
      <c r="F7" s="58">
        <v>267</v>
      </c>
      <c r="G7" s="58">
        <v>78</v>
      </c>
      <c r="H7" s="58">
        <v>5</v>
      </c>
      <c r="I7" s="58">
        <v>1</v>
      </c>
      <c r="J7" s="58">
        <v>380</v>
      </c>
    </row>
    <row r="8" spans="1:10" ht="15.5" x14ac:dyDescent="0.35">
      <c r="A8" s="57" t="s">
        <v>139</v>
      </c>
      <c r="B8" s="58">
        <v>2</v>
      </c>
      <c r="C8" s="58">
        <v>9</v>
      </c>
      <c r="D8" s="58">
        <v>6</v>
      </c>
      <c r="E8" s="58">
        <v>14</v>
      </c>
      <c r="F8" s="58">
        <v>6</v>
      </c>
      <c r="G8" s="58">
        <v>2</v>
      </c>
      <c r="H8" s="58">
        <v>10</v>
      </c>
      <c r="I8" s="58">
        <v>5</v>
      </c>
      <c r="J8" s="58">
        <v>54</v>
      </c>
    </row>
    <row r="9" spans="1:10" ht="15.5" x14ac:dyDescent="0.35">
      <c r="A9" s="57" t="s">
        <v>140</v>
      </c>
      <c r="B9" s="58">
        <v>33</v>
      </c>
      <c r="C9" s="58">
        <v>15</v>
      </c>
      <c r="D9" s="58">
        <v>10</v>
      </c>
      <c r="E9" s="58">
        <v>232</v>
      </c>
      <c r="F9" s="58">
        <v>11</v>
      </c>
      <c r="G9" s="58">
        <v>8</v>
      </c>
      <c r="H9" s="58">
        <v>28</v>
      </c>
      <c r="I9" s="58">
        <v>4</v>
      </c>
      <c r="J9" s="58">
        <v>341</v>
      </c>
    </row>
    <row r="10" spans="1:10" ht="15.5" x14ac:dyDescent="0.35">
      <c r="A10" s="57" t="s">
        <v>141</v>
      </c>
      <c r="B10" s="58">
        <v>1</v>
      </c>
      <c r="C10" s="58">
        <v>2</v>
      </c>
      <c r="D10" s="58">
        <v>0</v>
      </c>
      <c r="E10" s="58">
        <v>29</v>
      </c>
      <c r="F10" s="58">
        <v>1</v>
      </c>
      <c r="G10" s="58">
        <v>1</v>
      </c>
      <c r="H10" s="58">
        <v>0</v>
      </c>
      <c r="I10" s="58">
        <v>2</v>
      </c>
      <c r="J10" s="58">
        <v>36</v>
      </c>
    </row>
    <row r="11" spans="1:10" ht="15.5" x14ac:dyDescent="0.35">
      <c r="A11" s="57" t="s">
        <v>142</v>
      </c>
      <c r="B11" s="58">
        <v>0</v>
      </c>
      <c r="C11" s="58">
        <v>0</v>
      </c>
      <c r="D11" s="58">
        <v>0</v>
      </c>
      <c r="E11" s="58">
        <v>2</v>
      </c>
      <c r="F11" s="58">
        <v>0</v>
      </c>
      <c r="G11" s="58">
        <v>1</v>
      </c>
      <c r="H11" s="58">
        <v>9</v>
      </c>
      <c r="I11" s="58">
        <v>3</v>
      </c>
      <c r="J11" s="58">
        <v>15</v>
      </c>
    </row>
    <row r="12" spans="1:10" ht="15.5" x14ac:dyDescent="0.35">
      <c r="A12" s="57" t="s">
        <v>143</v>
      </c>
      <c r="B12" s="58">
        <v>1</v>
      </c>
      <c r="C12" s="58">
        <v>5</v>
      </c>
      <c r="D12" s="58">
        <v>79</v>
      </c>
      <c r="E12" s="58">
        <v>6</v>
      </c>
      <c r="F12" s="58">
        <v>6</v>
      </c>
      <c r="G12" s="58">
        <v>7</v>
      </c>
      <c r="H12" s="58">
        <v>9</v>
      </c>
      <c r="I12" s="58">
        <v>1</v>
      </c>
      <c r="J12" s="58">
        <v>114</v>
      </c>
    </row>
    <row r="13" spans="1:10" ht="15.5" x14ac:dyDescent="0.35">
      <c r="A13" s="57" t="s">
        <v>144</v>
      </c>
      <c r="B13" s="58">
        <v>29</v>
      </c>
      <c r="C13" s="58">
        <v>17</v>
      </c>
      <c r="D13" s="58">
        <v>6</v>
      </c>
      <c r="E13" s="58">
        <v>9</v>
      </c>
      <c r="F13" s="58">
        <v>7</v>
      </c>
      <c r="G13" s="58">
        <v>3</v>
      </c>
      <c r="H13" s="58">
        <v>4</v>
      </c>
      <c r="I13" s="58">
        <v>0</v>
      </c>
      <c r="J13" s="58">
        <v>75</v>
      </c>
    </row>
    <row r="14" spans="1:10" ht="15.5" x14ac:dyDescent="0.35">
      <c r="A14" s="57" t="s">
        <v>145</v>
      </c>
      <c r="B14" s="58">
        <v>6</v>
      </c>
      <c r="C14" s="58">
        <v>33</v>
      </c>
      <c r="D14" s="58">
        <v>14</v>
      </c>
      <c r="E14" s="58">
        <v>3</v>
      </c>
      <c r="F14" s="58">
        <v>5</v>
      </c>
      <c r="G14" s="58">
        <v>1</v>
      </c>
      <c r="H14" s="58">
        <v>5</v>
      </c>
      <c r="I14" s="58">
        <v>0</v>
      </c>
      <c r="J14" s="58">
        <v>67</v>
      </c>
    </row>
    <row r="15" spans="1:10" ht="15.5" x14ac:dyDescent="0.35">
      <c r="A15" s="57" t="s">
        <v>146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2</v>
      </c>
      <c r="I15" s="58">
        <v>0</v>
      </c>
      <c r="J15" s="58">
        <v>2</v>
      </c>
    </row>
    <row r="16" spans="1:10" ht="15.5" x14ac:dyDescent="0.35">
      <c r="A16" s="57" t="s">
        <v>147</v>
      </c>
      <c r="B16" s="58">
        <v>2</v>
      </c>
      <c r="C16" s="58">
        <v>5</v>
      </c>
      <c r="D16" s="58">
        <v>2</v>
      </c>
      <c r="E16" s="58">
        <v>41</v>
      </c>
      <c r="F16" s="58">
        <v>1</v>
      </c>
      <c r="G16" s="58">
        <v>2</v>
      </c>
      <c r="H16" s="58">
        <v>1</v>
      </c>
      <c r="I16" s="58">
        <v>0</v>
      </c>
      <c r="J16" s="58">
        <v>54</v>
      </c>
    </row>
    <row r="17" spans="1:10" ht="15.5" x14ac:dyDescent="0.35">
      <c r="A17" s="57" t="s">
        <v>148</v>
      </c>
      <c r="B17" s="58">
        <v>35</v>
      </c>
      <c r="C17" s="58">
        <v>16</v>
      </c>
      <c r="D17" s="58">
        <v>11</v>
      </c>
      <c r="E17" s="58">
        <v>24</v>
      </c>
      <c r="F17" s="58">
        <v>195</v>
      </c>
      <c r="G17" s="58">
        <v>61</v>
      </c>
      <c r="H17" s="58">
        <v>15</v>
      </c>
      <c r="I17" s="58">
        <v>6</v>
      </c>
      <c r="J17" s="58">
        <v>363</v>
      </c>
    </row>
    <row r="18" spans="1:10" ht="15.5" x14ac:dyDescent="0.35">
      <c r="A18" s="57" t="s">
        <v>149</v>
      </c>
      <c r="B18" s="58">
        <v>171</v>
      </c>
      <c r="C18" s="58">
        <v>23</v>
      </c>
      <c r="D18" s="58">
        <v>0</v>
      </c>
      <c r="E18" s="58">
        <v>10</v>
      </c>
      <c r="F18" s="58">
        <v>13</v>
      </c>
      <c r="G18" s="58">
        <v>6</v>
      </c>
      <c r="H18" s="58">
        <v>2</v>
      </c>
      <c r="I18" s="58">
        <v>1</v>
      </c>
      <c r="J18" s="58">
        <v>226</v>
      </c>
    </row>
    <row r="19" spans="1:10" ht="15.5" x14ac:dyDescent="0.35">
      <c r="A19" s="57" t="s">
        <v>150</v>
      </c>
      <c r="B19" s="58">
        <v>1</v>
      </c>
      <c r="C19" s="58">
        <v>0</v>
      </c>
      <c r="D19" s="58">
        <v>1</v>
      </c>
      <c r="E19" s="58">
        <v>1</v>
      </c>
      <c r="F19" s="58">
        <v>0</v>
      </c>
      <c r="G19" s="58">
        <v>0</v>
      </c>
      <c r="H19" s="58">
        <v>0</v>
      </c>
      <c r="I19" s="58">
        <v>0</v>
      </c>
      <c r="J19" s="58">
        <v>3</v>
      </c>
    </row>
    <row r="20" spans="1:10" ht="15.5" x14ac:dyDescent="0.35">
      <c r="A20" s="57" t="s">
        <v>151</v>
      </c>
      <c r="B20" s="58">
        <v>0</v>
      </c>
      <c r="C20" s="58">
        <v>0</v>
      </c>
      <c r="D20" s="58">
        <v>0</v>
      </c>
      <c r="E20" s="58">
        <v>1</v>
      </c>
      <c r="F20" s="58">
        <v>1</v>
      </c>
      <c r="G20" s="58">
        <v>0</v>
      </c>
      <c r="H20" s="58">
        <v>1</v>
      </c>
      <c r="I20" s="58">
        <v>0</v>
      </c>
      <c r="J20" s="58">
        <v>3</v>
      </c>
    </row>
    <row r="21" spans="1:10" ht="15.5" x14ac:dyDescent="0.35">
      <c r="A21" s="57" t="s">
        <v>152</v>
      </c>
      <c r="B21" s="58">
        <v>78</v>
      </c>
      <c r="C21" s="58">
        <v>4</v>
      </c>
      <c r="D21" s="58">
        <v>0</v>
      </c>
      <c r="E21" s="58">
        <v>4</v>
      </c>
      <c r="F21" s="58">
        <v>5</v>
      </c>
      <c r="G21" s="58">
        <v>1</v>
      </c>
      <c r="H21" s="58">
        <v>1</v>
      </c>
      <c r="I21" s="58">
        <v>2</v>
      </c>
      <c r="J21" s="58">
        <v>95</v>
      </c>
    </row>
    <row r="22" spans="1:10" ht="15.5" x14ac:dyDescent="0.35">
      <c r="A22" s="57" t="s">
        <v>4</v>
      </c>
      <c r="B22" s="58">
        <v>4</v>
      </c>
      <c r="C22" s="58">
        <v>33</v>
      </c>
      <c r="D22" s="58">
        <v>34</v>
      </c>
      <c r="E22" s="58">
        <v>9</v>
      </c>
      <c r="F22" s="58">
        <v>204</v>
      </c>
      <c r="G22" s="58">
        <v>65</v>
      </c>
      <c r="H22" s="58">
        <v>22</v>
      </c>
      <c r="I22" s="58">
        <v>3</v>
      </c>
      <c r="J22" s="58">
        <v>374</v>
      </c>
    </row>
    <row r="23" spans="1:10" ht="15.5" x14ac:dyDescent="0.35">
      <c r="A23" s="57" t="s">
        <v>195</v>
      </c>
      <c r="B23" s="58">
        <v>0</v>
      </c>
      <c r="C23" s="58">
        <v>5</v>
      </c>
      <c r="D23" s="58">
        <v>2</v>
      </c>
      <c r="E23" s="58">
        <v>0</v>
      </c>
      <c r="F23" s="58">
        <v>0</v>
      </c>
      <c r="G23" s="58">
        <v>1</v>
      </c>
      <c r="H23" s="58">
        <v>0</v>
      </c>
      <c r="I23" s="58">
        <v>0</v>
      </c>
      <c r="J23" s="58">
        <v>8</v>
      </c>
    </row>
    <row r="24" spans="1:10" ht="15.5" x14ac:dyDescent="0.35">
      <c r="A24" s="57" t="s">
        <v>153</v>
      </c>
      <c r="B24" s="58">
        <v>6</v>
      </c>
      <c r="C24" s="58">
        <v>0</v>
      </c>
      <c r="D24" s="58">
        <v>1</v>
      </c>
      <c r="E24" s="58">
        <v>3</v>
      </c>
      <c r="F24" s="58">
        <v>2</v>
      </c>
      <c r="G24" s="58">
        <v>2</v>
      </c>
      <c r="H24" s="58">
        <v>13</v>
      </c>
      <c r="I24" s="58">
        <v>5</v>
      </c>
      <c r="J24" s="58">
        <v>32</v>
      </c>
    </row>
    <row r="25" spans="1:10" ht="15.5" x14ac:dyDescent="0.35">
      <c r="A25" s="60" t="s">
        <v>16</v>
      </c>
      <c r="B25" s="58">
        <v>941</v>
      </c>
      <c r="C25" s="58">
        <v>416</v>
      </c>
      <c r="D25" s="58">
        <v>916</v>
      </c>
      <c r="E25" s="58">
        <v>1337</v>
      </c>
      <c r="F25" s="58">
        <v>1058</v>
      </c>
      <c r="G25" s="58">
        <v>349</v>
      </c>
      <c r="H25" s="58">
        <v>1220</v>
      </c>
      <c r="I25" s="58">
        <v>130</v>
      </c>
      <c r="J25" s="58">
        <v>6367</v>
      </c>
    </row>
    <row r="26" spans="1:10" ht="5.25" customHeight="1" x14ac:dyDescent="0.35">
      <c r="A26" s="70"/>
      <c r="B26" s="71"/>
      <c r="C26" s="71"/>
      <c r="D26" s="71"/>
      <c r="E26" s="71"/>
      <c r="F26" s="71"/>
      <c r="G26" s="71"/>
      <c r="H26" s="71"/>
      <c r="I26" s="71"/>
      <c r="J26" s="71"/>
    </row>
    <row r="27" spans="1:10" x14ac:dyDescent="0.35">
      <c r="A27" s="46" t="s">
        <v>154</v>
      </c>
    </row>
  </sheetData>
  <pageMargins left="0.55000000000000004" right="0.55000000000000004" top="0.55000000000000004" bottom="0.55000000000000004" header="0.3" footer="0.3"/>
  <pageSetup scale="66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0D05-1F07-4E38-BC8A-1FC3A270B1AD}">
  <sheetPr>
    <pageSetUpPr fitToPage="1"/>
  </sheetPr>
  <dimension ref="A1:J27"/>
  <sheetViews>
    <sheetView workbookViewId="0">
      <selection activeCell="A2" sqref="A2"/>
    </sheetView>
  </sheetViews>
  <sheetFormatPr defaultRowHeight="14.5" x14ac:dyDescent="0.35"/>
  <cols>
    <col min="1" max="1" width="36" bestFit="1" customWidth="1"/>
    <col min="2" max="2" width="11.453125" bestFit="1" customWidth="1"/>
    <col min="3" max="3" width="13" bestFit="1" customWidth="1"/>
    <col min="4" max="4" width="11.81640625" bestFit="1" customWidth="1"/>
    <col min="5" max="5" width="12.81640625" bestFit="1" customWidth="1"/>
    <col min="6" max="6" width="13" bestFit="1" customWidth="1"/>
    <col min="7" max="7" width="14.54296875" bestFit="1" customWidth="1"/>
    <col min="8" max="8" width="14" bestFit="1" customWidth="1"/>
    <col min="9" max="9" width="7.81640625" bestFit="1" customWidth="1"/>
    <col min="10" max="11" width="9.7265625" bestFit="1" customWidth="1"/>
    <col min="12" max="12" width="15.1796875" bestFit="1" customWidth="1"/>
    <col min="13" max="13" width="14" bestFit="1" customWidth="1"/>
    <col min="14" max="14" width="9.1796875" bestFit="1" customWidth="1"/>
    <col min="15" max="19" width="5.54296875" bestFit="1" customWidth="1"/>
    <col min="20" max="21" width="7" bestFit="1" customWidth="1"/>
    <col min="22" max="22" width="14.1796875" bestFit="1" customWidth="1"/>
    <col min="23" max="23" width="10.453125" bestFit="1" customWidth="1"/>
    <col min="24" max="28" width="4.1796875" bestFit="1" customWidth="1"/>
    <col min="29" max="38" width="5.54296875" bestFit="1" customWidth="1"/>
    <col min="39" max="44" width="7" bestFit="1" customWidth="1"/>
    <col min="45" max="48" width="8.453125" bestFit="1" customWidth="1"/>
    <col min="49" max="50" width="9.81640625" bestFit="1" customWidth="1"/>
    <col min="51" max="51" width="15.26953125" bestFit="1" customWidth="1"/>
    <col min="52" max="52" width="9.81640625" bestFit="1" customWidth="1"/>
    <col min="53" max="53" width="11" bestFit="1" customWidth="1"/>
    <col min="54" max="54" width="6.26953125" bestFit="1" customWidth="1"/>
    <col min="55" max="55" width="11" bestFit="1" customWidth="1"/>
    <col min="56" max="56" width="6.26953125" bestFit="1" customWidth="1"/>
    <col min="57" max="57" width="11" bestFit="1" customWidth="1"/>
    <col min="58" max="58" width="9.7265625" bestFit="1" customWidth="1"/>
    <col min="59" max="59" width="12.453125" bestFit="1" customWidth="1"/>
    <col min="60" max="60" width="9.7265625" bestFit="1" customWidth="1"/>
    <col min="61" max="61" width="12.453125" bestFit="1" customWidth="1"/>
    <col min="62" max="62" width="9.7265625" bestFit="1" customWidth="1"/>
    <col min="63" max="63" width="12.453125" bestFit="1" customWidth="1"/>
    <col min="64" max="64" width="7.7265625" bestFit="1" customWidth="1"/>
    <col min="65" max="65" width="12.453125" bestFit="1" customWidth="1"/>
    <col min="66" max="66" width="7.7265625" bestFit="1" customWidth="1"/>
    <col min="67" max="67" width="12.453125" bestFit="1" customWidth="1"/>
    <col min="68" max="68" width="7.7265625" bestFit="1" customWidth="1"/>
    <col min="69" max="69" width="12.453125" bestFit="1" customWidth="1"/>
    <col min="70" max="70" width="7.7265625" bestFit="1" customWidth="1"/>
    <col min="71" max="71" width="12.453125" bestFit="1" customWidth="1"/>
    <col min="72" max="72" width="9.7265625" bestFit="1" customWidth="1"/>
    <col min="73" max="73" width="12.453125" bestFit="1" customWidth="1"/>
    <col min="74" max="74" width="9.7265625" bestFit="1" customWidth="1"/>
    <col min="75" max="75" width="12.453125" bestFit="1" customWidth="1"/>
    <col min="76" max="76" width="9.7265625" bestFit="1" customWidth="1"/>
    <col min="77" max="77" width="12.453125" bestFit="1" customWidth="1"/>
    <col min="79" max="79" width="14" bestFit="1" customWidth="1"/>
    <col min="81" max="81" width="14" bestFit="1" customWidth="1"/>
    <col min="82" max="82" width="9.7265625" bestFit="1" customWidth="1"/>
    <col min="83" max="83" width="14" bestFit="1" customWidth="1"/>
    <col min="84" max="84" width="9.7265625" bestFit="1" customWidth="1"/>
    <col min="85" max="85" width="14" bestFit="1" customWidth="1"/>
    <col min="86" max="86" width="9.7265625" bestFit="1" customWidth="1"/>
    <col min="87" max="87" width="14" bestFit="1" customWidth="1"/>
    <col min="89" max="89" width="14" bestFit="1" customWidth="1"/>
    <col min="90" max="90" width="10.54296875" bestFit="1" customWidth="1"/>
    <col min="91" max="91" width="15.453125" bestFit="1" customWidth="1"/>
    <col min="92" max="92" width="10.54296875" bestFit="1" customWidth="1"/>
    <col min="93" max="93" width="15.453125" bestFit="1" customWidth="1"/>
    <col min="94" max="94" width="10.54296875" bestFit="1" customWidth="1"/>
    <col min="95" max="95" width="15.453125" bestFit="1" customWidth="1"/>
    <col min="96" max="96" width="10.54296875" bestFit="1" customWidth="1"/>
    <col min="97" max="97" width="15.453125" bestFit="1" customWidth="1"/>
    <col min="98" max="98" width="12" bestFit="1" customWidth="1"/>
    <col min="99" max="99" width="16.81640625" bestFit="1" customWidth="1"/>
    <col min="100" max="100" width="12" bestFit="1" customWidth="1"/>
    <col min="101" max="101" width="16.81640625" bestFit="1" customWidth="1"/>
    <col min="102" max="102" width="15.26953125" bestFit="1" customWidth="1"/>
  </cols>
  <sheetData>
    <row r="1" spans="1:10" ht="17.5" x14ac:dyDescent="0.35">
      <c r="A1" s="1" t="str">
        <f>Parameters!$A$81</f>
        <v>TABLE 3G DRIVERS IN INJURY CRASHES BY TYPE OF CRASH BY MOVEMENT PRECEDING CRASH - 2021</v>
      </c>
    </row>
    <row r="3" spans="1:10" ht="15.5" x14ac:dyDescent="0.35">
      <c r="A3" s="56" t="s">
        <v>15</v>
      </c>
      <c r="B3" s="67" t="s">
        <v>15</v>
      </c>
      <c r="C3" s="55"/>
      <c r="D3" s="55"/>
      <c r="E3" s="55"/>
      <c r="F3" s="55"/>
      <c r="G3" s="55"/>
      <c r="H3" s="55"/>
      <c r="I3" s="55"/>
      <c r="J3" s="55"/>
    </row>
    <row r="4" spans="1:10" ht="34.5" customHeight="1" x14ac:dyDescent="0.35">
      <c r="A4" s="61" t="s">
        <v>193</v>
      </c>
      <c r="B4" s="62" t="s">
        <v>129</v>
      </c>
      <c r="C4" s="62" t="s">
        <v>130</v>
      </c>
      <c r="D4" s="62" t="s">
        <v>131</v>
      </c>
      <c r="E4" s="62" t="s">
        <v>132</v>
      </c>
      <c r="F4" s="62" t="s">
        <v>133</v>
      </c>
      <c r="G4" s="62" t="s">
        <v>134</v>
      </c>
      <c r="H4" s="66" t="s">
        <v>135</v>
      </c>
      <c r="I4" s="62" t="s">
        <v>4</v>
      </c>
      <c r="J4" s="62" t="s">
        <v>16</v>
      </c>
    </row>
    <row r="5" spans="1:10" ht="15.5" x14ac:dyDescent="0.35">
      <c r="A5" s="57" t="s">
        <v>136</v>
      </c>
      <c r="B5" s="58">
        <v>1094</v>
      </c>
      <c r="C5" s="58">
        <v>1812</v>
      </c>
      <c r="D5" s="58">
        <v>31164</v>
      </c>
      <c r="E5" s="58">
        <v>3241</v>
      </c>
      <c r="F5" s="58">
        <v>228</v>
      </c>
      <c r="G5" s="58">
        <v>65</v>
      </c>
      <c r="H5" s="58">
        <v>178</v>
      </c>
      <c r="I5" s="58">
        <v>356</v>
      </c>
      <c r="J5" s="58">
        <v>38138</v>
      </c>
    </row>
    <row r="6" spans="1:10" ht="15.5" x14ac:dyDescent="0.35">
      <c r="A6" s="57" t="s">
        <v>137</v>
      </c>
      <c r="B6" s="58">
        <v>9807</v>
      </c>
      <c r="C6" s="58">
        <v>18650</v>
      </c>
      <c r="D6" s="58">
        <v>55785</v>
      </c>
      <c r="E6" s="58">
        <v>51732</v>
      </c>
      <c r="F6" s="58">
        <v>8699</v>
      </c>
      <c r="G6" s="58">
        <v>2652</v>
      </c>
      <c r="H6" s="58">
        <v>4604</v>
      </c>
      <c r="I6" s="58">
        <v>2834</v>
      </c>
      <c r="J6" s="58">
        <v>154763</v>
      </c>
    </row>
    <row r="7" spans="1:10" ht="15.5" x14ac:dyDescent="0.35">
      <c r="A7" s="57" t="s">
        <v>138</v>
      </c>
      <c r="B7" s="58">
        <v>165</v>
      </c>
      <c r="C7" s="58">
        <v>118</v>
      </c>
      <c r="D7" s="58">
        <v>127</v>
      </c>
      <c r="E7" s="58">
        <v>97</v>
      </c>
      <c r="F7" s="58">
        <v>3961</v>
      </c>
      <c r="G7" s="58">
        <v>1039</v>
      </c>
      <c r="H7" s="58">
        <v>52</v>
      </c>
      <c r="I7" s="58">
        <v>75</v>
      </c>
      <c r="J7" s="58">
        <v>5634</v>
      </c>
    </row>
    <row r="8" spans="1:10" ht="15.5" x14ac:dyDescent="0.35">
      <c r="A8" s="57" t="s">
        <v>139</v>
      </c>
      <c r="B8" s="58">
        <v>564</v>
      </c>
      <c r="C8" s="58">
        <v>1222</v>
      </c>
      <c r="D8" s="58">
        <v>917</v>
      </c>
      <c r="E8" s="58">
        <v>2730</v>
      </c>
      <c r="F8" s="58">
        <v>541</v>
      </c>
      <c r="G8" s="58">
        <v>151</v>
      </c>
      <c r="H8" s="58">
        <v>1067</v>
      </c>
      <c r="I8" s="58">
        <v>447</v>
      </c>
      <c r="J8" s="58">
        <v>7639</v>
      </c>
    </row>
    <row r="9" spans="1:10" ht="15.5" x14ac:dyDescent="0.35">
      <c r="A9" s="57" t="s">
        <v>140</v>
      </c>
      <c r="B9" s="58">
        <v>4224</v>
      </c>
      <c r="C9" s="58">
        <v>1841</v>
      </c>
      <c r="D9" s="58">
        <v>789</v>
      </c>
      <c r="E9" s="58">
        <v>16973</v>
      </c>
      <c r="F9" s="58">
        <v>770</v>
      </c>
      <c r="G9" s="58">
        <v>248</v>
      </c>
      <c r="H9" s="58">
        <v>1782</v>
      </c>
      <c r="I9" s="58">
        <v>753</v>
      </c>
      <c r="J9" s="58">
        <v>27380</v>
      </c>
    </row>
    <row r="10" spans="1:10" ht="15.5" x14ac:dyDescent="0.35">
      <c r="A10" s="57" t="s">
        <v>141</v>
      </c>
      <c r="B10" s="58">
        <v>152</v>
      </c>
      <c r="C10" s="58">
        <v>270</v>
      </c>
      <c r="D10" s="58">
        <v>137</v>
      </c>
      <c r="E10" s="58">
        <v>1611</v>
      </c>
      <c r="F10" s="58">
        <v>59</v>
      </c>
      <c r="G10" s="58">
        <v>37</v>
      </c>
      <c r="H10" s="58">
        <v>32</v>
      </c>
      <c r="I10" s="58">
        <v>62</v>
      </c>
      <c r="J10" s="58">
        <v>2360</v>
      </c>
    </row>
    <row r="11" spans="1:10" ht="15.5" x14ac:dyDescent="0.35">
      <c r="A11" s="57" t="s">
        <v>142</v>
      </c>
      <c r="B11" s="58">
        <v>21</v>
      </c>
      <c r="C11" s="58">
        <v>63</v>
      </c>
      <c r="D11" s="58">
        <v>261</v>
      </c>
      <c r="E11" s="58">
        <v>290</v>
      </c>
      <c r="F11" s="58">
        <v>54</v>
      </c>
      <c r="G11" s="58">
        <v>7</v>
      </c>
      <c r="H11" s="58">
        <v>261</v>
      </c>
      <c r="I11" s="58">
        <v>180</v>
      </c>
      <c r="J11" s="58">
        <v>1137</v>
      </c>
    </row>
    <row r="12" spans="1:10" ht="15.5" x14ac:dyDescent="0.35">
      <c r="A12" s="57" t="s">
        <v>143</v>
      </c>
      <c r="B12" s="58">
        <v>151</v>
      </c>
      <c r="C12" s="58">
        <v>566</v>
      </c>
      <c r="D12" s="58">
        <v>14616</v>
      </c>
      <c r="E12" s="58">
        <v>306</v>
      </c>
      <c r="F12" s="58">
        <v>162</v>
      </c>
      <c r="G12" s="58">
        <v>119</v>
      </c>
      <c r="H12" s="58">
        <v>104</v>
      </c>
      <c r="I12" s="58">
        <v>114</v>
      </c>
      <c r="J12" s="58">
        <v>16138</v>
      </c>
    </row>
    <row r="13" spans="1:10" ht="15.5" x14ac:dyDescent="0.35">
      <c r="A13" s="57" t="s">
        <v>144</v>
      </c>
      <c r="B13" s="58">
        <v>110</v>
      </c>
      <c r="C13" s="58">
        <v>572</v>
      </c>
      <c r="D13" s="58">
        <v>160</v>
      </c>
      <c r="E13" s="58">
        <v>330</v>
      </c>
      <c r="F13" s="58">
        <v>99</v>
      </c>
      <c r="G13" s="58">
        <v>65</v>
      </c>
      <c r="H13" s="58">
        <v>24</v>
      </c>
      <c r="I13" s="58">
        <v>32</v>
      </c>
      <c r="J13" s="58">
        <v>1392</v>
      </c>
    </row>
    <row r="14" spans="1:10" ht="15.5" x14ac:dyDescent="0.35">
      <c r="A14" s="57" t="s">
        <v>145</v>
      </c>
      <c r="B14" s="58">
        <v>55</v>
      </c>
      <c r="C14" s="58">
        <v>4884</v>
      </c>
      <c r="D14" s="58">
        <v>1882</v>
      </c>
      <c r="E14" s="58">
        <v>345</v>
      </c>
      <c r="F14" s="58">
        <v>379</v>
      </c>
      <c r="G14" s="58">
        <v>195</v>
      </c>
      <c r="H14" s="58">
        <v>32</v>
      </c>
      <c r="I14" s="58">
        <v>92</v>
      </c>
      <c r="J14" s="58">
        <v>7864</v>
      </c>
    </row>
    <row r="15" spans="1:10" ht="15.5" x14ac:dyDescent="0.35">
      <c r="A15" s="57" t="s">
        <v>146</v>
      </c>
      <c r="B15" s="58">
        <v>8</v>
      </c>
      <c r="C15" s="58">
        <v>35</v>
      </c>
      <c r="D15" s="58">
        <v>35</v>
      </c>
      <c r="E15" s="58">
        <v>27</v>
      </c>
      <c r="F15" s="58">
        <v>31</v>
      </c>
      <c r="G15" s="58">
        <v>2</v>
      </c>
      <c r="H15" s="58">
        <v>23</v>
      </c>
      <c r="I15" s="58">
        <v>14</v>
      </c>
      <c r="J15" s="58">
        <v>175</v>
      </c>
    </row>
    <row r="16" spans="1:10" ht="15.5" x14ac:dyDescent="0.35">
      <c r="A16" s="57" t="s">
        <v>147</v>
      </c>
      <c r="B16" s="58">
        <v>166</v>
      </c>
      <c r="C16" s="58">
        <v>452</v>
      </c>
      <c r="D16" s="58">
        <v>150</v>
      </c>
      <c r="E16" s="58">
        <v>2499</v>
      </c>
      <c r="F16" s="58">
        <v>48</v>
      </c>
      <c r="G16" s="58">
        <v>42</v>
      </c>
      <c r="H16" s="58">
        <v>152</v>
      </c>
      <c r="I16" s="58">
        <v>126</v>
      </c>
      <c r="J16" s="58">
        <v>3635</v>
      </c>
    </row>
    <row r="17" spans="1:10" ht="15.5" x14ac:dyDescent="0.35">
      <c r="A17" s="57" t="s">
        <v>148</v>
      </c>
      <c r="B17" s="58">
        <v>518</v>
      </c>
      <c r="C17" s="58">
        <v>1262</v>
      </c>
      <c r="D17" s="58">
        <v>781</v>
      </c>
      <c r="E17" s="58">
        <v>433</v>
      </c>
      <c r="F17" s="58">
        <v>4053</v>
      </c>
      <c r="G17" s="58">
        <v>1230</v>
      </c>
      <c r="H17" s="58">
        <v>152</v>
      </c>
      <c r="I17" s="58">
        <v>86</v>
      </c>
      <c r="J17" s="58">
        <v>8515</v>
      </c>
    </row>
    <row r="18" spans="1:10" ht="15.5" x14ac:dyDescent="0.35">
      <c r="A18" s="57" t="s">
        <v>149</v>
      </c>
      <c r="B18" s="58">
        <v>846</v>
      </c>
      <c r="C18" s="58">
        <v>465</v>
      </c>
      <c r="D18" s="58">
        <v>23</v>
      </c>
      <c r="E18" s="58">
        <v>177</v>
      </c>
      <c r="F18" s="58">
        <v>86</v>
      </c>
      <c r="G18" s="58">
        <v>37</v>
      </c>
      <c r="H18" s="58">
        <v>14</v>
      </c>
      <c r="I18" s="58">
        <v>15</v>
      </c>
      <c r="J18" s="58">
        <v>1663</v>
      </c>
    </row>
    <row r="19" spans="1:10" ht="15.5" x14ac:dyDescent="0.35">
      <c r="A19" s="57" t="s">
        <v>150</v>
      </c>
      <c r="B19" s="58">
        <v>24</v>
      </c>
      <c r="C19" s="58">
        <v>95</v>
      </c>
      <c r="D19" s="58">
        <v>126</v>
      </c>
      <c r="E19" s="58">
        <v>40</v>
      </c>
      <c r="F19" s="58">
        <v>11</v>
      </c>
      <c r="G19" s="58">
        <v>5</v>
      </c>
      <c r="H19" s="58">
        <v>22</v>
      </c>
      <c r="I19" s="58">
        <v>35</v>
      </c>
      <c r="J19" s="58">
        <v>358</v>
      </c>
    </row>
    <row r="20" spans="1:10" ht="15.5" x14ac:dyDescent="0.35">
      <c r="A20" s="57" t="s">
        <v>151</v>
      </c>
      <c r="B20" s="58">
        <v>10</v>
      </c>
      <c r="C20" s="58">
        <v>244</v>
      </c>
      <c r="D20" s="58">
        <v>122</v>
      </c>
      <c r="E20" s="58">
        <v>59</v>
      </c>
      <c r="F20" s="58">
        <v>22</v>
      </c>
      <c r="G20" s="58">
        <v>15</v>
      </c>
      <c r="H20" s="58">
        <v>15</v>
      </c>
      <c r="I20" s="58">
        <v>9</v>
      </c>
      <c r="J20" s="58">
        <v>496</v>
      </c>
    </row>
    <row r="21" spans="1:10" ht="15.5" x14ac:dyDescent="0.35">
      <c r="A21" s="57" t="s">
        <v>152</v>
      </c>
      <c r="B21" s="58">
        <v>392</v>
      </c>
      <c r="C21" s="58">
        <v>124</v>
      </c>
      <c r="D21" s="58">
        <v>14</v>
      </c>
      <c r="E21" s="58">
        <v>112</v>
      </c>
      <c r="F21" s="58">
        <v>80</v>
      </c>
      <c r="G21" s="58">
        <v>10</v>
      </c>
      <c r="H21" s="58">
        <v>8</v>
      </c>
      <c r="I21" s="58">
        <v>16</v>
      </c>
      <c r="J21" s="58">
        <v>756</v>
      </c>
    </row>
    <row r="22" spans="1:10" ht="15.5" x14ac:dyDescent="0.35">
      <c r="A22" s="57" t="s">
        <v>4</v>
      </c>
      <c r="B22" s="58">
        <v>93</v>
      </c>
      <c r="C22" s="58">
        <v>1840</v>
      </c>
      <c r="D22" s="58">
        <v>775</v>
      </c>
      <c r="E22" s="58">
        <v>357</v>
      </c>
      <c r="F22" s="58">
        <v>4672</v>
      </c>
      <c r="G22" s="58">
        <v>1013</v>
      </c>
      <c r="H22" s="58">
        <v>134</v>
      </c>
      <c r="I22" s="58">
        <v>78</v>
      </c>
      <c r="J22" s="58">
        <v>8962</v>
      </c>
    </row>
    <row r="23" spans="1:10" ht="15.5" x14ac:dyDescent="0.35">
      <c r="A23" s="57" t="s">
        <v>195</v>
      </c>
      <c r="B23" s="58">
        <v>2</v>
      </c>
      <c r="C23" s="58">
        <v>257</v>
      </c>
      <c r="D23" s="58">
        <v>128</v>
      </c>
      <c r="E23" s="58">
        <v>5</v>
      </c>
      <c r="F23" s="58">
        <v>2</v>
      </c>
      <c r="G23" s="58">
        <v>35</v>
      </c>
      <c r="H23" s="58"/>
      <c r="I23" s="58">
        <v>1</v>
      </c>
      <c r="J23" s="58">
        <v>430</v>
      </c>
    </row>
    <row r="24" spans="1:10" ht="15.5" x14ac:dyDescent="0.35">
      <c r="A24" s="57" t="s">
        <v>153</v>
      </c>
      <c r="B24" s="58">
        <v>135</v>
      </c>
      <c r="C24" s="58">
        <v>186</v>
      </c>
      <c r="D24" s="58">
        <v>393</v>
      </c>
      <c r="E24" s="58">
        <v>395</v>
      </c>
      <c r="F24" s="58">
        <v>50</v>
      </c>
      <c r="G24" s="58">
        <v>21</v>
      </c>
      <c r="H24" s="58">
        <v>137</v>
      </c>
      <c r="I24" s="58">
        <v>260</v>
      </c>
      <c r="J24" s="58">
        <v>1577</v>
      </c>
    </row>
    <row r="25" spans="1:10" ht="15.5" x14ac:dyDescent="0.35">
      <c r="A25" s="60" t="s">
        <v>16</v>
      </c>
      <c r="B25" s="58">
        <v>18537</v>
      </c>
      <c r="C25" s="58">
        <v>34958</v>
      </c>
      <c r="D25" s="58">
        <v>108385</v>
      </c>
      <c r="E25" s="58">
        <v>81759</v>
      </c>
      <c r="F25" s="58">
        <v>24007</v>
      </c>
      <c r="G25" s="58">
        <v>6988</v>
      </c>
      <c r="H25" s="58">
        <v>8793</v>
      </c>
      <c r="I25" s="58">
        <v>5585</v>
      </c>
      <c r="J25" s="58">
        <v>289012</v>
      </c>
    </row>
    <row r="26" spans="1:10" ht="5.25" customHeight="1" x14ac:dyDescent="0.35"/>
    <row r="27" spans="1:10" x14ac:dyDescent="0.35">
      <c r="A27" s="46" t="s">
        <v>154</v>
      </c>
    </row>
  </sheetData>
  <pageMargins left="0.55000000000000004" right="0.55000000000000004" top="0.55000000000000004" bottom="0.55000000000000004" header="0.3" footer="0.3"/>
  <pageSetup scale="61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A730-CCE1-4920-A843-D3FBBE917322}">
  <sheetPr>
    <pageSetUpPr fitToPage="1"/>
  </sheetPr>
  <dimension ref="A1:K19"/>
  <sheetViews>
    <sheetView workbookViewId="0">
      <selection activeCell="A2" sqref="A2"/>
    </sheetView>
  </sheetViews>
  <sheetFormatPr defaultRowHeight="14.5" x14ac:dyDescent="0.35"/>
  <cols>
    <col min="1" max="1" width="38.54296875" bestFit="1" customWidth="1"/>
    <col min="2" max="2" width="9.1796875" bestFit="1" customWidth="1"/>
    <col min="3" max="3" width="8.453125" bestFit="1" customWidth="1"/>
    <col min="4" max="4" width="9.1796875" bestFit="1" customWidth="1"/>
    <col min="5" max="5" width="8.453125" bestFit="1" customWidth="1"/>
    <col min="6" max="6" width="9.1796875" bestFit="1" customWidth="1"/>
    <col min="7" max="7" width="7.453125" bestFit="1" customWidth="1"/>
    <col min="8" max="8" width="9.1796875" bestFit="1" customWidth="1"/>
    <col min="9" max="9" width="7.453125" bestFit="1" customWidth="1"/>
    <col min="10" max="10" width="9.1796875" bestFit="1" customWidth="1"/>
    <col min="11" max="11" width="7.453125" bestFit="1" customWidth="1"/>
    <col min="12" max="12" width="11.26953125" bestFit="1" customWidth="1"/>
    <col min="13" max="13" width="9.81640625" bestFit="1" customWidth="1"/>
    <col min="14" max="14" width="6.81640625" bestFit="1" customWidth="1"/>
    <col min="15" max="15" width="6.54296875" bestFit="1" customWidth="1"/>
    <col min="16" max="16" width="9.81640625" bestFit="1" customWidth="1"/>
    <col min="17" max="17" width="11.26953125" bestFit="1" customWidth="1"/>
  </cols>
  <sheetData>
    <row r="1" spans="1:11" ht="17.5" x14ac:dyDescent="0.35">
      <c r="A1" s="1" t="str">
        <f>Parameters!$A$84</f>
        <v>TABLE 3H DRIVERS IN FATAL AND INJURY CRASHES BY INATTENTION BY CRASH SEVERITY 2017-2021</v>
      </c>
    </row>
    <row r="3" spans="1:11" ht="15.5" x14ac:dyDescent="0.35">
      <c r="A3" s="56" t="s">
        <v>15</v>
      </c>
      <c r="B3" s="56" t="s">
        <v>15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ht="15.5" x14ac:dyDescent="0.35">
      <c r="A4" s="55"/>
      <c r="B4" s="63">
        <v>2017</v>
      </c>
      <c r="C4" s="63"/>
      <c r="D4" s="63">
        <v>2018</v>
      </c>
      <c r="E4" s="63"/>
      <c r="F4" s="63">
        <v>2019</v>
      </c>
      <c r="G4" s="63"/>
      <c r="H4" s="69">
        <v>2020</v>
      </c>
      <c r="I4" s="69"/>
      <c r="J4" s="69">
        <v>2021</v>
      </c>
      <c r="K4" s="55"/>
    </row>
    <row r="5" spans="1:11" ht="15.5" x14ac:dyDescent="0.35">
      <c r="A5" s="61" t="s">
        <v>194</v>
      </c>
      <c r="B5" s="59" t="s">
        <v>20</v>
      </c>
      <c r="C5" s="59" t="s">
        <v>21</v>
      </c>
      <c r="D5" s="59" t="s">
        <v>20</v>
      </c>
      <c r="E5" s="59" t="s">
        <v>21</v>
      </c>
      <c r="F5" s="59" t="s">
        <v>20</v>
      </c>
      <c r="G5" s="59" t="s">
        <v>21</v>
      </c>
      <c r="H5" s="55" t="s">
        <v>20</v>
      </c>
      <c r="I5" s="55" t="s">
        <v>21</v>
      </c>
      <c r="J5" s="55" t="s">
        <v>20</v>
      </c>
      <c r="K5" s="55" t="s">
        <v>21</v>
      </c>
    </row>
    <row r="6" spans="1:11" ht="15.5" x14ac:dyDescent="0.35">
      <c r="A6" s="57" t="s">
        <v>155</v>
      </c>
      <c r="B6" s="58">
        <v>27</v>
      </c>
      <c r="C6" s="58">
        <v>706</v>
      </c>
      <c r="D6" s="58">
        <v>10</v>
      </c>
      <c r="E6" s="58">
        <v>706</v>
      </c>
      <c r="F6" s="58">
        <v>17</v>
      </c>
      <c r="G6" s="58">
        <v>607</v>
      </c>
      <c r="H6" s="58">
        <v>13</v>
      </c>
      <c r="I6" s="58">
        <v>570</v>
      </c>
      <c r="J6" s="58">
        <v>18</v>
      </c>
      <c r="K6" s="58">
        <v>609</v>
      </c>
    </row>
    <row r="7" spans="1:11" ht="15.5" x14ac:dyDescent="0.35">
      <c r="A7" s="57" t="s">
        <v>156</v>
      </c>
      <c r="B7" s="58">
        <v>4</v>
      </c>
      <c r="C7" s="58">
        <v>194</v>
      </c>
      <c r="D7" s="58">
        <v>6</v>
      </c>
      <c r="E7" s="58">
        <v>238</v>
      </c>
      <c r="F7" s="58">
        <v>2</v>
      </c>
      <c r="G7" s="58">
        <v>233</v>
      </c>
      <c r="H7" s="58">
        <v>3</v>
      </c>
      <c r="I7" s="58">
        <v>182</v>
      </c>
      <c r="J7" s="58">
        <v>4</v>
      </c>
      <c r="K7" s="58">
        <v>256</v>
      </c>
    </row>
    <row r="8" spans="1:11" ht="15.5" x14ac:dyDescent="0.35">
      <c r="A8" s="57" t="s">
        <v>157</v>
      </c>
      <c r="B8" s="58">
        <v>3</v>
      </c>
      <c r="C8" s="58">
        <v>277</v>
      </c>
      <c r="D8" s="58">
        <v>4</v>
      </c>
      <c r="E8" s="58">
        <v>262</v>
      </c>
      <c r="F8" s="58">
        <v>7</v>
      </c>
      <c r="G8" s="58">
        <v>219</v>
      </c>
      <c r="H8" s="58">
        <v>0</v>
      </c>
      <c r="I8" s="58">
        <v>152</v>
      </c>
      <c r="J8" s="58">
        <v>4</v>
      </c>
      <c r="K8" s="58">
        <v>196</v>
      </c>
    </row>
    <row r="9" spans="1:11" ht="15.5" x14ac:dyDescent="0.35">
      <c r="A9" s="57" t="s">
        <v>158</v>
      </c>
      <c r="B9" s="58">
        <v>5</v>
      </c>
      <c r="C9" s="58">
        <v>491</v>
      </c>
      <c r="D9" s="58">
        <v>5</v>
      </c>
      <c r="E9" s="58">
        <v>424</v>
      </c>
      <c r="F9" s="58">
        <v>3</v>
      </c>
      <c r="G9" s="58">
        <v>341</v>
      </c>
      <c r="H9" s="58">
        <v>2</v>
      </c>
      <c r="I9" s="58">
        <v>241</v>
      </c>
      <c r="J9" s="58">
        <v>4</v>
      </c>
      <c r="K9" s="58">
        <v>225</v>
      </c>
    </row>
    <row r="10" spans="1:11" ht="15.5" x14ac:dyDescent="0.35">
      <c r="A10" s="57" t="s">
        <v>159</v>
      </c>
      <c r="B10" s="58">
        <v>0</v>
      </c>
      <c r="C10" s="58">
        <v>53</v>
      </c>
      <c r="D10" s="58">
        <v>1</v>
      </c>
      <c r="E10" s="58">
        <v>39</v>
      </c>
      <c r="F10" s="58">
        <v>0</v>
      </c>
      <c r="G10" s="58">
        <v>46</v>
      </c>
      <c r="H10" s="58">
        <v>1</v>
      </c>
      <c r="I10" s="58">
        <v>41</v>
      </c>
      <c r="J10" s="58">
        <v>0</v>
      </c>
      <c r="K10" s="58">
        <v>38</v>
      </c>
    </row>
    <row r="11" spans="1:11" ht="15.5" x14ac:dyDescent="0.35">
      <c r="A11" s="57" t="s">
        <v>160</v>
      </c>
      <c r="B11" s="58">
        <v>4</v>
      </c>
      <c r="C11" s="58">
        <v>304</v>
      </c>
      <c r="D11" s="58">
        <v>2</v>
      </c>
      <c r="E11" s="58">
        <v>276</v>
      </c>
      <c r="F11" s="58">
        <v>5</v>
      </c>
      <c r="G11" s="58">
        <v>225</v>
      </c>
      <c r="H11" s="58">
        <v>3</v>
      </c>
      <c r="I11" s="58">
        <v>175</v>
      </c>
      <c r="J11" s="58">
        <v>5</v>
      </c>
      <c r="K11" s="58">
        <v>200</v>
      </c>
    </row>
    <row r="12" spans="1:11" ht="15.5" x14ac:dyDescent="0.35">
      <c r="A12" s="57" t="s">
        <v>161</v>
      </c>
      <c r="B12" s="58">
        <v>4</v>
      </c>
      <c r="C12" s="58">
        <v>249</v>
      </c>
      <c r="D12" s="58">
        <v>4</v>
      </c>
      <c r="E12" s="58">
        <v>238</v>
      </c>
      <c r="F12" s="58">
        <v>0</v>
      </c>
      <c r="G12" s="58">
        <v>221</v>
      </c>
      <c r="H12" s="58">
        <v>2</v>
      </c>
      <c r="I12" s="58">
        <v>118</v>
      </c>
      <c r="J12" s="58">
        <v>1</v>
      </c>
      <c r="K12" s="58">
        <v>200</v>
      </c>
    </row>
    <row r="13" spans="1:11" ht="15.5" x14ac:dyDescent="0.35">
      <c r="A13" s="57" t="s">
        <v>162</v>
      </c>
      <c r="B13" s="58">
        <v>1</v>
      </c>
      <c r="C13" s="58">
        <v>96</v>
      </c>
      <c r="D13" s="58">
        <v>0</v>
      </c>
      <c r="E13" s="58">
        <v>104</v>
      </c>
      <c r="F13" s="58">
        <v>1</v>
      </c>
      <c r="G13" s="58">
        <v>92</v>
      </c>
      <c r="H13" s="58">
        <v>0</v>
      </c>
      <c r="I13" s="58">
        <v>83</v>
      </c>
      <c r="J13" s="58">
        <v>1</v>
      </c>
      <c r="K13" s="58">
        <v>102</v>
      </c>
    </row>
    <row r="14" spans="1:11" ht="15.5" x14ac:dyDescent="0.35">
      <c r="A14" s="57" t="s">
        <v>163</v>
      </c>
      <c r="B14" s="58">
        <v>0</v>
      </c>
      <c r="C14" s="58">
        <v>39</v>
      </c>
      <c r="D14" s="58">
        <v>0</v>
      </c>
      <c r="E14" s="58">
        <v>23</v>
      </c>
      <c r="F14" s="58">
        <v>0</v>
      </c>
      <c r="G14" s="58">
        <v>30</v>
      </c>
      <c r="H14" s="58">
        <v>0</v>
      </c>
      <c r="I14" s="58">
        <v>19</v>
      </c>
      <c r="J14" s="58">
        <v>0</v>
      </c>
      <c r="K14" s="58">
        <v>29</v>
      </c>
    </row>
    <row r="15" spans="1:11" ht="15.5" x14ac:dyDescent="0.35">
      <c r="A15" s="57" t="s">
        <v>164</v>
      </c>
      <c r="B15" s="58">
        <v>0</v>
      </c>
      <c r="C15" s="58">
        <v>27</v>
      </c>
      <c r="D15" s="58">
        <v>0</v>
      </c>
      <c r="E15" s="58">
        <v>24</v>
      </c>
      <c r="F15" s="58">
        <v>0</v>
      </c>
      <c r="G15" s="58">
        <v>23</v>
      </c>
      <c r="H15" s="58">
        <v>0</v>
      </c>
      <c r="I15" s="58">
        <v>8</v>
      </c>
      <c r="J15" s="58">
        <v>0</v>
      </c>
      <c r="K15" s="58">
        <v>12</v>
      </c>
    </row>
    <row r="16" spans="1:11" ht="15.5" x14ac:dyDescent="0.35">
      <c r="A16" s="57" t="s">
        <v>4</v>
      </c>
      <c r="B16" s="58">
        <v>33</v>
      </c>
      <c r="C16" s="58">
        <v>2956</v>
      </c>
      <c r="D16" s="58">
        <v>36</v>
      </c>
      <c r="E16" s="58">
        <v>2822</v>
      </c>
      <c r="F16" s="58">
        <v>42</v>
      </c>
      <c r="G16" s="58">
        <v>2433</v>
      </c>
      <c r="H16" s="58">
        <v>22</v>
      </c>
      <c r="I16" s="58">
        <v>1555</v>
      </c>
      <c r="J16" s="58">
        <v>35</v>
      </c>
      <c r="K16" s="58">
        <v>1918</v>
      </c>
    </row>
    <row r="17" spans="1:11" ht="15.5" x14ac:dyDescent="0.35">
      <c r="A17" s="57" t="s">
        <v>165</v>
      </c>
      <c r="B17" s="58">
        <v>0</v>
      </c>
      <c r="C17" s="58">
        <v>1</v>
      </c>
      <c r="D17" s="58">
        <v>0</v>
      </c>
      <c r="E17" s="58">
        <v>1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1</v>
      </c>
    </row>
    <row r="18" spans="1:11" ht="15.5" x14ac:dyDescent="0.35">
      <c r="A18" s="57" t="s">
        <v>166</v>
      </c>
      <c r="B18" s="58">
        <v>37</v>
      </c>
      <c r="C18" s="58">
        <v>5509</v>
      </c>
      <c r="D18" s="58">
        <v>22</v>
      </c>
      <c r="E18" s="58">
        <v>5284</v>
      </c>
      <c r="F18" s="58">
        <v>22</v>
      </c>
      <c r="G18" s="58">
        <v>4802</v>
      </c>
      <c r="H18" s="58">
        <v>16</v>
      </c>
      <c r="I18" s="58">
        <v>3314</v>
      </c>
      <c r="J18" s="58">
        <v>17</v>
      </c>
      <c r="K18" s="58">
        <v>2679</v>
      </c>
    </row>
    <row r="19" spans="1:11" ht="15.5" x14ac:dyDescent="0.35">
      <c r="A19" s="60" t="s">
        <v>16</v>
      </c>
      <c r="B19" s="58">
        <v>118</v>
      </c>
      <c r="C19" s="58">
        <v>10902</v>
      </c>
      <c r="D19" s="58">
        <v>90</v>
      </c>
      <c r="E19" s="58">
        <v>10441</v>
      </c>
      <c r="F19" s="58">
        <v>99</v>
      </c>
      <c r="G19" s="58">
        <v>9272</v>
      </c>
      <c r="H19" s="58">
        <v>62</v>
      </c>
      <c r="I19" s="58">
        <v>6458</v>
      </c>
      <c r="J19" s="58">
        <v>89</v>
      </c>
      <c r="K19" s="58">
        <v>6465</v>
      </c>
    </row>
  </sheetData>
  <pageMargins left="0.55000000000000004" right="0.55000000000000004" top="0.55000000000000004" bottom="0.55000000000000004" header="0.3" footer="0.3"/>
  <pageSetup scale="69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C0E8-69DD-4419-8228-11C82F1DF5A7}">
  <dimension ref="A1:D84"/>
  <sheetViews>
    <sheetView topLeftCell="A72" workbookViewId="0">
      <selection activeCell="H84" sqref="H84"/>
    </sheetView>
  </sheetViews>
  <sheetFormatPr defaultRowHeight="14.5" x14ac:dyDescent="0.35"/>
  <cols>
    <col min="1" max="1" width="12.7265625" bestFit="1" customWidth="1"/>
    <col min="2" max="2" width="12.81640625" bestFit="1" customWidth="1"/>
    <col min="3" max="3" width="10.54296875" customWidth="1"/>
    <col min="4" max="4" width="11.26953125" bestFit="1" customWidth="1"/>
  </cols>
  <sheetData>
    <row r="1" spans="1:4" x14ac:dyDescent="0.35">
      <c r="A1" t="s">
        <v>13</v>
      </c>
    </row>
    <row r="2" spans="1:4" x14ac:dyDescent="0.35">
      <c r="A2">
        <v>2021</v>
      </c>
    </row>
    <row r="4" spans="1:4" x14ac:dyDescent="0.35">
      <c r="A4" t="s">
        <v>127</v>
      </c>
      <c r="B4" t="s">
        <v>128</v>
      </c>
    </row>
    <row r="5" spans="1:4" x14ac:dyDescent="0.35">
      <c r="A5">
        <v>2017</v>
      </c>
      <c r="B5">
        <v>2021</v>
      </c>
    </row>
    <row r="7" spans="1:4" x14ac:dyDescent="0.35">
      <c r="A7" t="s">
        <v>170</v>
      </c>
    </row>
    <row r="8" spans="1:4" x14ac:dyDescent="0.35">
      <c r="A8" t="str">
        <f>"TABLE 3A DRIVERS IN FATAL AND INJURY CRASHES AND DRIVERS WHO WERE AT FAULT BY TYPE OF VEHICLE - "&amp;A2&amp;""</f>
        <v>TABLE 3A DRIVERS IN FATAL AND INJURY CRASHES AND DRIVERS WHO WERE AT FAULT BY TYPE OF VEHICLE - 2021</v>
      </c>
    </row>
    <row r="10" spans="1:4" x14ac:dyDescent="0.35">
      <c r="A10" t="s">
        <v>171</v>
      </c>
    </row>
    <row r="11" spans="1:4" x14ac:dyDescent="0.35">
      <c r="A11" t="str">
        <f>"TABLE 3B DRIVERS IN FATAL AND INJURY CRASHES BY AGE COMPARED TO LICENSED DRIVERS IN CALIFORNIA - "&amp;A2&amp;""</f>
        <v>TABLE 3B DRIVERS IN FATAL AND INJURY CRASHES BY AGE COMPARED TO LICENSED DRIVERS IN CALIFORNIA - 2021</v>
      </c>
    </row>
    <row r="13" spans="1:4" x14ac:dyDescent="0.35">
      <c r="A13" s="72" t="s">
        <v>52</v>
      </c>
      <c r="B13" s="72"/>
      <c r="C13" s="72"/>
      <c r="D13" s="72"/>
    </row>
    <row r="14" spans="1:4" x14ac:dyDescent="0.35">
      <c r="A14" s="44" t="s">
        <v>15</v>
      </c>
      <c r="B14" s="44" t="s">
        <v>15</v>
      </c>
      <c r="C14" s="45"/>
    </row>
    <row r="15" spans="1:4" ht="15.5" x14ac:dyDescent="0.35">
      <c r="A15" s="56" t="s">
        <v>22</v>
      </c>
      <c r="B15" s="55" t="s">
        <v>20</v>
      </c>
      <c r="C15" s="55" t="s">
        <v>21</v>
      </c>
    </row>
    <row r="16" spans="1:4" ht="15.5" x14ac:dyDescent="0.35">
      <c r="A16" s="57" t="s">
        <v>28</v>
      </c>
      <c r="B16" s="58">
        <v>11</v>
      </c>
      <c r="C16" s="58">
        <v>365</v>
      </c>
    </row>
    <row r="17" spans="1:3" ht="15.5" x14ac:dyDescent="0.35">
      <c r="A17" s="57" t="s">
        <v>29</v>
      </c>
      <c r="B17" s="58">
        <v>345</v>
      </c>
      <c r="C17" s="58">
        <v>17684</v>
      </c>
    </row>
    <row r="18" spans="1:3" ht="15.5" x14ac:dyDescent="0.35">
      <c r="A18" s="57" t="s">
        <v>30</v>
      </c>
      <c r="B18" s="58">
        <v>805</v>
      </c>
      <c r="C18" s="58">
        <v>37885</v>
      </c>
    </row>
    <row r="19" spans="1:3" ht="15.5" x14ac:dyDescent="0.35">
      <c r="A19" s="57" t="s">
        <v>31</v>
      </c>
      <c r="B19" s="58">
        <v>793</v>
      </c>
      <c r="C19" s="58">
        <v>36891</v>
      </c>
    </row>
    <row r="20" spans="1:3" ht="15.5" x14ac:dyDescent="0.35">
      <c r="A20" s="57" t="s">
        <v>32</v>
      </c>
      <c r="B20" s="58">
        <v>697</v>
      </c>
      <c r="C20" s="58">
        <v>32446</v>
      </c>
    </row>
    <row r="21" spans="1:3" ht="15.5" x14ac:dyDescent="0.35">
      <c r="A21" s="57" t="s">
        <v>33</v>
      </c>
      <c r="B21" s="58">
        <v>610</v>
      </c>
      <c r="C21" s="58">
        <v>26856</v>
      </c>
    </row>
    <row r="22" spans="1:3" ht="15.5" x14ac:dyDescent="0.35">
      <c r="A22" s="57" t="s">
        <v>34</v>
      </c>
      <c r="B22" s="58">
        <v>464</v>
      </c>
      <c r="C22" s="58">
        <v>23226</v>
      </c>
    </row>
    <row r="23" spans="1:3" ht="15.5" x14ac:dyDescent="0.35">
      <c r="A23" s="57" t="s">
        <v>35</v>
      </c>
      <c r="B23" s="58">
        <v>410</v>
      </c>
      <c r="C23" s="58">
        <v>20075</v>
      </c>
    </row>
    <row r="24" spans="1:3" ht="15.5" x14ac:dyDescent="0.35">
      <c r="A24" s="57" t="s">
        <v>36</v>
      </c>
      <c r="B24" s="58">
        <v>501</v>
      </c>
      <c r="C24" s="58">
        <v>19590</v>
      </c>
    </row>
    <row r="25" spans="1:3" ht="15.5" x14ac:dyDescent="0.35">
      <c r="A25" s="57" t="s">
        <v>37</v>
      </c>
      <c r="B25" s="58">
        <v>433</v>
      </c>
      <c r="C25" s="58">
        <v>17788</v>
      </c>
    </row>
    <row r="26" spans="1:3" ht="15.5" x14ac:dyDescent="0.35">
      <c r="A26" s="57" t="s">
        <v>38</v>
      </c>
      <c r="B26" s="58">
        <v>377</v>
      </c>
      <c r="C26" s="58">
        <v>14421</v>
      </c>
    </row>
    <row r="27" spans="1:3" ht="15.5" x14ac:dyDescent="0.35">
      <c r="A27" s="57" t="s">
        <v>39</v>
      </c>
      <c r="B27" s="58">
        <v>228</v>
      </c>
      <c r="C27" s="58">
        <v>10161</v>
      </c>
    </row>
    <row r="28" spans="1:3" ht="15.5" x14ac:dyDescent="0.35">
      <c r="A28" s="57" t="s">
        <v>40</v>
      </c>
      <c r="B28" s="58">
        <v>156</v>
      </c>
      <c r="C28" s="58">
        <v>6792</v>
      </c>
    </row>
    <row r="29" spans="1:3" ht="15.5" x14ac:dyDescent="0.35">
      <c r="A29" s="57" t="s">
        <v>41</v>
      </c>
      <c r="B29" s="58">
        <v>96</v>
      </c>
      <c r="C29" s="58">
        <v>4049</v>
      </c>
    </row>
    <row r="30" spans="1:3" ht="15.5" x14ac:dyDescent="0.35">
      <c r="A30" s="57" t="s">
        <v>42</v>
      </c>
      <c r="B30" s="58">
        <v>62</v>
      </c>
      <c r="C30" s="58">
        <v>2257</v>
      </c>
    </row>
    <row r="31" spans="1:3" ht="15.5" x14ac:dyDescent="0.35">
      <c r="A31" s="57" t="s">
        <v>43</v>
      </c>
      <c r="B31" s="58">
        <v>34</v>
      </c>
      <c r="C31" s="58">
        <v>1035</v>
      </c>
    </row>
    <row r="32" spans="1:3" ht="15.5" x14ac:dyDescent="0.35">
      <c r="A32" s="57" t="s">
        <v>44</v>
      </c>
      <c r="B32" s="58">
        <v>13</v>
      </c>
      <c r="C32" s="58">
        <v>425</v>
      </c>
    </row>
    <row r="33" spans="1:3" ht="15.5" x14ac:dyDescent="0.35">
      <c r="A33" s="57" t="s">
        <v>45</v>
      </c>
      <c r="B33" s="58">
        <v>332</v>
      </c>
      <c r="C33" s="58">
        <v>17072</v>
      </c>
    </row>
    <row r="34" spans="1:3" ht="15.5" x14ac:dyDescent="0.35">
      <c r="A34" s="57" t="s">
        <v>14</v>
      </c>
      <c r="B34" s="58">
        <v>6367</v>
      </c>
      <c r="C34" s="58">
        <v>289018</v>
      </c>
    </row>
    <row r="36" spans="1:3" x14ac:dyDescent="0.35">
      <c r="A36" t="s">
        <v>172</v>
      </c>
    </row>
    <row r="37" spans="1:3" x14ac:dyDescent="0.35">
      <c r="A37" t="str">
        <f>"TABLE 3C DRIVERS IN FATAL AND INJURY CRASHES AND DRIVERS WHO WERE AT FAULT BY SEX BY AGE - "&amp;A2&amp;""</f>
        <v>TABLE 3C DRIVERS IN FATAL AND INJURY CRASHES AND DRIVERS WHO WERE AT FAULT BY SEX BY AGE - 2021</v>
      </c>
    </row>
    <row r="39" spans="1:3" x14ac:dyDescent="0.35">
      <c r="A39" t="s">
        <v>173</v>
      </c>
    </row>
    <row r="40" spans="1:3" x14ac:dyDescent="0.35">
      <c r="A40" t="str">
        <f>"TABLE 3D DRIVERS IN FATAL CRASHES BY AGE BY HOUR OF DAY - "&amp;A2&amp;""</f>
        <v>TABLE 3D DRIVERS IN FATAL CRASHES BY AGE BY HOUR OF DAY - 2021</v>
      </c>
    </row>
    <row r="42" spans="1:3" x14ac:dyDescent="0.35">
      <c r="A42" t="s">
        <v>167</v>
      </c>
    </row>
    <row r="43" spans="1:3" x14ac:dyDescent="0.35">
      <c r="A43" s="41" t="s">
        <v>126</v>
      </c>
      <c r="B43" t="s">
        <v>53</v>
      </c>
    </row>
    <row r="44" spans="1:3" x14ac:dyDescent="0.35">
      <c r="A44" s="42" t="s">
        <v>100</v>
      </c>
      <c r="B44" s="43">
        <v>356</v>
      </c>
    </row>
    <row r="45" spans="1:3" x14ac:dyDescent="0.35">
      <c r="A45" s="42" t="s">
        <v>30</v>
      </c>
      <c r="B45" s="43">
        <v>805</v>
      </c>
    </row>
    <row r="46" spans="1:3" x14ac:dyDescent="0.35">
      <c r="A46" s="42" t="s">
        <v>31</v>
      </c>
      <c r="B46" s="43">
        <v>793</v>
      </c>
    </row>
    <row r="47" spans="1:3" x14ac:dyDescent="0.35">
      <c r="A47" s="42" t="s">
        <v>32</v>
      </c>
      <c r="B47" s="43">
        <v>697</v>
      </c>
    </row>
    <row r="48" spans="1:3" x14ac:dyDescent="0.35">
      <c r="A48" s="42" t="s">
        <v>33</v>
      </c>
      <c r="B48" s="43">
        <v>610</v>
      </c>
    </row>
    <row r="49" spans="1:2" x14ac:dyDescent="0.35">
      <c r="A49" s="42" t="s">
        <v>34</v>
      </c>
      <c r="B49" s="43">
        <v>464</v>
      </c>
    </row>
    <row r="50" spans="1:2" x14ac:dyDescent="0.35">
      <c r="A50" s="42" t="s">
        <v>35</v>
      </c>
      <c r="B50" s="43">
        <v>410</v>
      </c>
    </row>
    <row r="51" spans="1:2" x14ac:dyDescent="0.35">
      <c r="A51" s="42" t="s">
        <v>36</v>
      </c>
      <c r="B51" s="43">
        <v>501</v>
      </c>
    </row>
    <row r="52" spans="1:2" x14ac:dyDescent="0.35">
      <c r="A52" s="42" t="s">
        <v>37</v>
      </c>
      <c r="B52" s="43">
        <v>433</v>
      </c>
    </row>
    <row r="53" spans="1:2" x14ac:dyDescent="0.35">
      <c r="A53" s="42" t="s">
        <v>38</v>
      </c>
      <c r="B53" s="43">
        <v>377</v>
      </c>
    </row>
    <row r="54" spans="1:2" x14ac:dyDescent="0.35">
      <c r="A54" s="42" t="s">
        <v>101</v>
      </c>
      <c r="B54" s="43">
        <v>589</v>
      </c>
    </row>
    <row r="55" spans="1:2" x14ac:dyDescent="0.35">
      <c r="A55" s="42" t="s">
        <v>153</v>
      </c>
      <c r="B55" s="43">
        <v>332</v>
      </c>
    </row>
    <row r="56" spans="1:2" x14ac:dyDescent="0.35">
      <c r="A56" s="42" t="s">
        <v>169</v>
      </c>
      <c r="B56" s="43">
        <v>6367</v>
      </c>
    </row>
    <row r="58" spans="1:2" x14ac:dyDescent="0.35">
      <c r="A58" t="s">
        <v>174</v>
      </c>
    </row>
    <row r="59" spans="1:2" x14ac:dyDescent="0.35">
      <c r="A59" t="str">
        <f>"TABLE 3E DRIVERS IN INJURY CRASHES BY AGE BY HOUR OF DAY - "&amp;A2&amp;""</f>
        <v>TABLE 3E DRIVERS IN INJURY CRASHES BY AGE BY HOUR OF DAY - 2021</v>
      </c>
    </row>
    <row r="61" spans="1:2" x14ac:dyDescent="0.35">
      <c r="A61" t="s">
        <v>168</v>
      </c>
    </row>
    <row r="62" spans="1:2" x14ac:dyDescent="0.35">
      <c r="A62" s="41" t="s">
        <v>126</v>
      </c>
      <c r="B62" t="s">
        <v>53</v>
      </c>
    </row>
    <row r="63" spans="1:2" x14ac:dyDescent="0.35">
      <c r="A63" s="42" t="s">
        <v>100</v>
      </c>
      <c r="B63" s="43">
        <v>18049</v>
      </c>
    </row>
    <row r="64" spans="1:2" x14ac:dyDescent="0.35">
      <c r="A64" s="42" t="s">
        <v>30</v>
      </c>
      <c r="B64" s="43">
        <v>37885</v>
      </c>
    </row>
    <row r="65" spans="1:2" x14ac:dyDescent="0.35">
      <c r="A65" s="42" t="s">
        <v>31</v>
      </c>
      <c r="B65" s="43">
        <v>36891</v>
      </c>
    </row>
    <row r="66" spans="1:2" x14ac:dyDescent="0.35">
      <c r="A66" s="42" t="s">
        <v>32</v>
      </c>
      <c r="B66" s="43">
        <v>32446</v>
      </c>
    </row>
    <row r="67" spans="1:2" x14ac:dyDescent="0.35">
      <c r="A67" s="42" t="s">
        <v>33</v>
      </c>
      <c r="B67" s="43">
        <v>26856</v>
      </c>
    </row>
    <row r="68" spans="1:2" x14ac:dyDescent="0.35">
      <c r="A68" s="42" t="s">
        <v>34</v>
      </c>
      <c r="B68" s="43">
        <v>23226</v>
      </c>
    </row>
    <row r="69" spans="1:2" x14ac:dyDescent="0.35">
      <c r="A69" s="42" t="s">
        <v>35</v>
      </c>
      <c r="B69" s="43">
        <v>20075</v>
      </c>
    </row>
    <row r="70" spans="1:2" x14ac:dyDescent="0.35">
      <c r="A70" s="42" t="s">
        <v>36</v>
      </c>
      <c r="B70" s="43">
        <v>19590</v>
      </c>
    </row>
    <row r="71" spans="1:2" x14ac:dyDescent="0.35">
      <c r="A71" s="42" t="s">
        <v>37</v>
      </c>
      <c r="B71" s="43">
        <v>17788</v>
      </c>
    </row>
    <row r="72" spans="1:2" x14ac:dyDescent="0.35">
      <c r="A72" s="42" t="s">
        <v>38</v>
      </c>
      <c r="B72" s="43">
        <v>14421</v>
      </c>
    </row>
    <row r="73" spans="1:2" x14ac:dyDescent="0.35">
      <c r="A73" s="42" t="s">
        <v>101</v>
      </c>
      <c r="B73" s="43">
        <v>24719</v>
      </c>
    </row>
    <row r="74" spans="1:2" x14ac:dyDescent="0.35">
      <c r="A74" s="42" t="s">
        <v>153</v>
      </c>
      <c r="B74" s="43">
        <v>17072</v>
      </c>
    </row>
    <row r="75" spans="1:2" x14ac:dyDescent="0.35">
      <c r="A75" s="42" t="s">
        <v>169</v>
      </c>
      <c r="B75" s="43">
        <v>289018</v>
      </c>
    </row>
    <row r="77" spans="1:2" x14ac:dyDescent="0.35">
      <c r="A77" t="s">
        <v>175</v>
      </c>
    </row>
    <row r="78" spans="1:2" x14ac:dyDescent="0.35">
      <c r="A78" t="str">
        <f>"TABLE 3F DRIVERS IN FATAL CRASHES BY TYPE OF CRASH BY MOVEMENT PRECEDING CRASH - "&amp;A2&amp;""</f>
        <v>TABLE 3F DRIVERS IN FATAL CRASHES BY TYPE OF CRASH BY MOVEMENT PRECEDING CRASH - 2021</v>
      </c>
    </row>
    <row r="80" spans="1:2" x14ac:dyDescent="0.35">
      <c r="A80" t="s">
        <v>176</v>
      </c>
    </row>
    <row r="81" spans="1:1" x14ac:dyDescent="0.35">
      <c r="A81" t="str">
        <f>"TABLE 3G DRIVERS IN INJURY CRASHES BY TYPE OF CRASH BY MOVEMENT PRECEDING CRASH - "&amp;A2&amp;""</f>
        <v>TABLE 3G DRIVERS IN INJURY CRASHES BY TYPE OF CRASH BY MOVEMENT PRECEDING CRASH - 2021</v>
      </c>
    </row>
    <row r="83" spans="1:1" x14ac:dyDescent="0.35">
      <c r="A83" t="s">
        <v>177</v>
      </c>
    </row>
    <row r="84" spans="1:1" x14ac:dyDescent="0.35">
      <c r="A84" t="str">
        <f>"TABLE 3H DRIVERS IN FATAL AND INJURY CRASHES BY INATTENTION BY CRASH SEVERITY "&amp;A5&amp;"-"&amp;B5</f>
        <v>TABLE 3H DRIVERS IN FATAL AND INJURY CRASHES BY INATTENTION BY CRASH SEVERITY 2017-2021</v>
      </c>
    </row>
  </sheetData>
  <mergeCells count="1">
    <mergeCell ref="A13:D13"/>
  </mergeCells>
  <pageMargins left="0.7" right="0.7" top="0.75" bottom="0.75" header="0.3" footer="0.3"/>
  <pageSetup orientation="portrait" r:id="rId4"/>
  <tableParts count="3"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D9BE-21EB-427C-A705-C02D8AE02AE3}">
  <dimension ref="A1:K93"/>
  <sheetViews>
    <sheetView workbookViewId="0">
      <selection activeCell="H84" sqref="H84"/>
    </sheetView>
  </sheetViews>
  <sheetFormatPr defaultRowHeight="16" x14ac:dyDescent="0.45"/>
  <cols>
    <col min="1" max="1" width="9.1796875" style="6"/>
    <col min="2" max="3" width="11.453125" style="6" customWidth="1"/>
    <col min="4" max="4" width="12.7265625" style="6" bestFit="1" customWidth="1"/>
    <col min="5" max="5" width="10.54296875" style="6" customWidth="1"/>
    <col min="6" max="7" width="9.1796875" style="6"/>
    <col min="8" max="10" width="9.81640625" style="6" bestFit="1" customWidth="1"/>
    <col min="11" max="11" width="12.1796875" style="6" bestFit="1" customWidth="1"/>
    <col min="12" max="258" width="9.1796875" style="6"/>
    <col min="259" max="260" width="11.453125" style="6" customWidth="1"/>
    <col min="261" max="261" width="10.54296875" style="6" customWidth="1"/>
    <col min="262" max="263" width="9.1796875" style="6"/>
    <col min="264" max="266" width="9.81640625" style="6" bestFit="1" customWidth="1"/>
    <col min="267" max="514" width="9.1796875" style="6"/>
    <col min="515" max="516" width="11.453125" style="6" customWidth="1"/>
    <col min="517" max="517" width="10.54296875" style="6" customWidth="1"/>
    <col min="518" max="519" width="9.1796875" style="6"/>
    <col min="520" max="522" width="9.81640625" style="6" bestFit="1" customWidth="1"/>
    <col min="523" max="770" width="9.1796875" style="6"/>
    <col min="771" max="772" width="11.453125" style="6" customWidth="1"/>
    <col min="773" max="773" width="10.54296875" style="6" customWidth="1"/>
    <col min="774" max="775" width="9.1796875" style="6"/>
    <col min="776" max="778" width="9.81640625" style="6" bestFit="1" customWidth="1"/>
    <col min="779" max="1026" width="9.1796875" style="6"/>
    <col min="1027" max="1028" width="11.453125" style="6" customWidth="1"/>
    <col min="1029" max="1029" width="10.54296875" style="6" customWidth="1"/>
    <col min="1030" max="1031" width="9.1796875" style="6"/>
    <col min="1032" max="1034" width="9.81640625" style="6" bestFit="1" customWidth="1"/>
    <col min="1035" max="1282" width="9.1796875" style="6"/>
    <col min="1283" max="1284" width="11.453125" style="6" customWidth="1"/>
    <col min="1285" max="1285" width="10.54296875" style="6" customWidth="1"/>
    <col min="1286" max="1287" width="9.1796875" style="6"/>
    <col min="1288" max="1290" width="9.81640625" style="6" bestFit="1" customWidth="1"/>
    <col min="1291" max="1538" width="9.1796875" style="6"/>
    <col min="1539" max="1540" width="11.453125" style="6" customWidth="1"/>
    <col min="1541" max="1541" width="10.54296875" style="6" customWidth="1"/>
    <col min="1542" max="1543" width="9.1796875" style="6"/>
    <col min="1544" max="1546" width="9.81640625" style="6" bestFit="1" customWidth="1"/>
    <col min="1547" max="1794" width="9.1796875" style="6"/>
    <col min="1795" max="1796" width="11.453125" style="6" customWidth="1"/>
    <col min="1797" max="1797" width="10.54296875" style="6" customWidth="1"/>
    <col min="1798" max="1799" width="9.1796875" style="6"/>
    <col min="1800" max="1802" width="9.81640625" style="6" bestFit="1" customWidth="1"/>
    <col min="1803" max="2050" width="9.1796875" style="6"/>
    <col min="2051" max="2052" width="11.453125" style="6" customWidth="1"/>
    <col min="2053" max="2053" width="10.54296875" style="6" customWidth="1"/>
    <col min="2054" max="2055" width="9.1796875" style="6"/>
    <col min="2056" max="2058" width="9.81640625" style="6" bestFit="1" customWidth="1"/>
    <col min="2059" max="2306" width="9.1796875" style="6"/>
    <col min="2307" max="2308" width="11.453125" style="6" customWidth="1"/>
    <col min="2309" max="2309" width="10.54296875" style="6" customWidth="1"/>
    <col min="2310" max="2311" width="9.1796875" style="6"/>
    <col min="2312" max="2314" width="9.81640625" style="6" bestFit="1" customWidth="1"/>
    <col min="2315" max="2562" width="9.1796875" style="6"/>
    <col min="2563" max="2564" width="11.453125" style="6" customWidth="1"/>
    <col min="2565" max="2565" width="10.54296875" style="6" customWidth="1"/>
    <col min="2566" max="2567" width="9.1796875" style="6"/>
    <col min="2568" max="2570" width="9.81640625" style="6" bestFit="1" customWidth="1"/>
    <col min="2571" max="2818" width="9.1796875" style="6"/>
    <col min="2819" max="2820" width="11.453125" style="6" customWidth="1"/>
    <col min="2821" max="2821" width="10.54296875" style="6" customWidth="1"/>
    <col min="2822" max="2823" width="9.1796875" style="6"/>
    <col min="2824" max="2826" width="9.81640625" style="6" bestFit="1" customWidth="1"/>
    <col min="2827" max="3074" width="9.1796875" style="6"/>
    <col min="3075" max="3076" width="11.453125" style="6" customWidth="1"/>
    <col min="3077" max="3077" width="10.54296875" style="6" customWidth="1"/>
    <col min="3078" max="3079" width="9.1796875" style="6"/>
    <col min="3080" max="3082" width="9.81640625" style="6" bestFit="1" customWidth="1"/>
    <col min="3083" max="3330" width="9.1796875" style="6"/>
    <col min="3331" max="3332" width="11.453125" style="6" customWidth="1"/>
    <col min="3333" max="3333" width="10.54296875" style="6" customWidth="1"/>
    <col min="3334" max="3335" width="9.1796875" style="6"/>
    <col min="3336" max="3338" width="9.81640625" style="6" bestFit="1" customWidth="1"/>
    <col min="3339" max="3586" width="9.1796875" style="6"/>
    <col min="3587" max="3588" width="11.453125" style="6" customWidth="1"/>
    <col min="3589" max="3589" width="10.54296875" style="6" customWidth="1"/>
    <col min="3590" max="3591" width="9.1796875" style="6"/>
    <col min="3592" max="3594" width="9.81640625" style="6" bestFit="1" customWidth="1"/>
    <col min="3595" max="3842" width="9.1796875" style="6"/>
    <col min="3843" max="3844" width="11.453125" style="6" customWidth="1"/>
    <col min="3845" max="3845" width="10.54296875" style="6" customWidth="1"/>
    <col min="3846" max="3847" width="9.1796875" style="6"/>
    <col min="3848" max="3850" width="9.81640625" style="6" bestFit="1" customWidth="1"/>
    <col min="3851" max="4098" width="9.1796875" style="6"/>
    <col min="4099" max="4100" width="11.453125" style="6" customWidth="1"/>
    <col min="4101" max="4101" width="10.54296875" style="6" customWidth="1"/>
    <col min="4102" max="4103" width="9.1796875" style="6"/>
    <col min="4104" max="4106" width="9.81640625" style="6" bestFit="1" customWidth="1"/>
    <col min="4107" max="4354" width="9.1796875" style="6"/>
    <col min="4355" max="4356" width="11.453125" style="6" customWidth="1"/>
    <col min="4357" max="4357" width="10.54296875" style="6" customWidth="1"/>
    <col min="4358" max="4359" width="9.1796875" style="6"/>
    <col min="4360" max="4362" width="9.81640625" style="6" bestFit="1" customWidth="1"/>
    <col min="4363" max="4610" width="9.1796875" style="6"/>
    <col min="4611" max="4612" width="11.453125" style="6" customWidth="1"/>
    <col min="4613" max="4613" width="10.54296875" style="6" customWidth="1"/>
    <col min="4614" max="4615" width="9.1796875" style="6"/>
    <col min="4616" max="4618" width="9.81640625" style="6" bestFit="1" customWidth="1"/>
    <col min="4619" max="4866" width="9.1796875" style="6"/>
    <col min="4867" max="4868" width="11.453125" style="6" customWidth="1"/>
    <col min="4869" max="4869" width="10.54296875" style="6" customWidth="1"/>
    <col min="4870" max="4871" width="9.1796875" style="6"/>
    <col min="4872" max="4874" width="9.81640625" style="6" bestFit="1" customWidth="1"/>
    <col min="4875" max="5122" width="9.1796875" style="6"/>
    <col min="5123" max="5124" width="11.453125" style="6" customWidth="1"/>
    <col min="5125" max="5125" width="10.54296875" style="6" customWidth="1"/>
    <col min="5126" max="5127" width="9.1796875" style="6"/>
    <col min="5128" max="5130" width="9.81640625" style="6" bestFit="1" customWidth="1"/>
    <col min="5131" max="5378" width="9.1796875" style="6"/>
    <col min="5379" max="5380" width="11.453125" style="6" customWidth="1"/>
    <col min="5381" max="5381" width="10.54296875" style="6" customWidth="1"/>
    <col min="5382" max="5383" width="9.1796875" style="6"/>
    <col min="5384" max="5386" width="9.81640625" style="6" bestFit="1" customWidth="1"/>
    <col min="5387" max="5634" width="9.1796875" style="6"/>
    <col min="5635" max="5636" width="11.453125" style="6" customWidth="1"/>
    <col min="5637" max="5637" width="10.54296875" style="6" customWidth="1"/>
    <col min="5638" max="5639" width="9.1796875" style="6"/>
    <col min="5640" max="5642" width="9.81640625" style="6" bestFit="1" customWidth="1"/>
    <col min="5643" max="5890" width="9.1796875" style="6"/>
    <col min="5891" max="5892" width="11.453125" style="6" customWidth="1"/>
    <col min="5893" max="5893" width="10.54296875" style="6" customWidth="1"/>
    <col min="5894" max="5895" width="9.1796875" style="6"/>
    <col min="5896" max="5898" width="9.81640625" style="6" bestFit="1" customWidth="1"/>
    <col min="5899" max="6146" width="9.1796875" style="6"/>
    <col min="6147" max="6148" width="11.453125" style="6" customWidth="1"/>
    <col min="6149" max="6149" width="10.54296875" style="6" customWidth="1"/>
    <col min="6150" max="6151" width="9.1796875" style="6"/>
    <col min="6152" max="6154" width="9.81640625" style="6" bestFit="1" customWidth="1"/>
    <col min="6155" max="6402" width="9.1796875" style="6"/>
    <col min="6403" max="6404" width="11.453125" style="6" customWidth="1"/>
    <col min="6405" max="6405" width="10.54296875" style="6" customWidth="1"/>
    <col min="6406" max="6407" width="9.1796875" style="6"/>
    <col min="6408" max="6410" width="9.81640625" style="6" bestFit="1" customWidth="1"/>
    <col min="6411" max="6658" width="9.1796875" style="6"/>
    <col min="6659" max="6660" width="11.453125" style="6" customWidth="1"/>
    <col min="6661" max="6661" width="10.54296875" style="6" customWidth="1"/>
    <col min="6662" max="6663" width="9.1796875" style="6"/>
    <col min="6664" max="6666" width="9.81640625" style="6" bestFit="1" customWidth="1"/>
    <col min="6667" max="6914" width="9.1796875" style="6"/>
    <col min="6915" max="6916" width="11.453125" style="6" customWidth="1"/>
    <col min="6917" max="6917" width="10.54296875" style="6" customWidth="1"/>
    <col min="6918" max="6919" width="9.1796875" style="6"/>
    <col min="6920" max="6922" width="9.81640625" style="6" bestFit="1" customWidth="1"/>
    <col min="6923" max="7170" width="9.1796875" style="6"/>
    <col min="7171" max="7172" width="11.453125" style="6" customWidth="1"/>
    <col min="7173" max="7173" width="10.54296875" style="6" customWidth="1"/>
    <col min="7174" max="7175" width="9.1796875" style="6"/>
    <col min="7176" max="7178" width="9.81640625" style="6" bestFit="1" customWidth="1"/>
    <col min="7179" max="7426" width="9.1796875" style="6"/>
    <col min="7427" max="7428" width="11.453125" style="6" customWidth="1"/>
    <col min="7429" max="7429" width="10.54296875" style="6" customWidth="1"/>
    <col min="7430" max="7431" width="9.1796875" style="6"/>
    <col min="7432" max="7434" width="9.81640625" style="6" bestFit="1" customWidth="1"/>
    <col min="7435" max="7682" width="9.1796875" style="6"/>
    <col min="7683" max="7684" width="11.453125" style="6" customWidth="1"/>
    <col min="7685" max="7685" width="10.54296875" style="6" customWidth="1"/>
    <col min="7686" max="7687" width="9.1796875" style="6"/>
    <col min="7688" max="7690" width="9.81640625" style="6" bestFit="1" customWidth="1"/>
    <col min="7691" max="7938" width="9.1796875" style="6"/>
    <col min="7939" max="7940" width="11.453125" style="6" customWidth="1"/>
    <col min="7941" max="7941" width="10.54296875" style="6" customWidth="1"/>
    <col min="7942" max="7943" width="9.1796875" style="6"/>
    <col min="7944" max="7946" width="9.81640625" style="6" bestFit="1" customWidth="1"/>
    <col min="7947" max="8194" width="9.1796875" style="6"/>
    <col min="8195" max="8196" width="11.453125" style="6" customWidth="1"/>
    <col min="8197" max="8197" width="10.54296875" style="6" customWidth="1"/>
    <col min="8198" max="8199" width="9.1796875" style="6"/>
    <col min="8200" max="8202" width="9.81640625" style="6" bestFit="1" customWidth="1"/>
    <col min="8203" max="8450" width="9.1796875" style="6"/>
    <col min="8451" max="8452" width="11.453125" style="6" customWidth="1"/>
    <col min="8453" max="8453" width="10.54296875" style="6" customWidth="1"/>
    <col min="8454" max="8455" width="9.1796875" style="6"/>
    <col min="8456" max="8458" width="9.81640625" style="6" bestFit="1" customWidth="1"/>
    <col min="8459" max="8706" width="9.1796875" style="6"/>
    <col min="8707" max="8708" width="11.453125" style="6" customWidth="1"/>
    <col min="8709" max="8709" width="10.54296875" style="6" customWidth="1"/>
    <col min="8710" max="8711" width="9.1796875" style="6"/>
    <col min="8712" max="8714" width="9.81640625" style="6" bestFit="1" customWidth="1"/>
    <col min="8715" max="8962" width="9.1796875" style="6"/>
    <col min="8963" max="8964" width="11.453125" style="6" customWidth="1"/>
    <col min="8965" max="8965" width="10.54296875" style="6" customWidth="1"/>
    <col min="8966" max="8967" width="9.1796875" style="6"/>
    <col min="8968" max="8970" width="9.81640625" style="6" bestFit="1" customWidth="1"/>
    <col min="8971" max="9218" width="9.1796875" style="6"/>
    <col min="9219" max="9220" width="11.453125" style="6" customWidth="1"/>
    <col min="9221" max="9221" width="10.54296875" style="6" customWidth="1"/>
    <col min="9222" max="9223" width="9.1796875" style="6"/>
    <col min="9224" max="9226" width="9.81640625" style="6" bestFit="1" customWidth="1"/>
    <col min="9227" max="9474" width="9.1796875" style="6"/>
    <col min="9475" max="9476" width="11.453125" style="6" customWidth="1"/>
    <col min="9477" max="9477" width="10.54296875" style="6" customWidth="1"/>
    <col min="9478" max="9479" width="9.1796875" style="6"/>
    <col min="9480" max="9482" width="9.81640625" style="6" bestFit="1" customWidth="1"/>
    <col min="9483" max="9730" width="9.1796875" style="6"/>
    <col min="9731" max="9732" width="11.453125" style="6" customWidth="1"/>
    <col min="9733" max="9733" width="10.54296875" style="6" customWidth="1"/>
    <col min="9734" max="9735" width="9.1796875" style="6"/>
    <col min="9736" max="9738" width="9.81640625" style="6" bestFit="1" customWidth="1"/>
    <col min="9739" max="9986" width="9.1796875" style="6"/>
    <col min="9987" max="9988" width="11.453125" style="6" customWidth="1"/>
    <col min="9989" max="9989" width="10.54296875" style="6" customWidth="1"/>
    <col min="9990" max="9991" width="9.1796875" style="6"/>
    <col min="9992" max="9994" width="9.81640625" style="6" bestFit="1" customWidth="1"/>
    <col min="9995" max="10242" width="9.1796875" style="6"/>
    <col min="10243" max="10244" width="11.453125" style="6" customWidth="1"/>
    <col min="10245" max="10245" width="10.54296875" style="6" customWidth="1"/>
    <col min="10246" max="10247" width="9.1796875" style="6"/>
    <col min="10248" max="10250" width="9.81640625" style="6" bestFit="1" customWidth="1"/>
    <col min="10251" max="10498" width="9.1796875" style="6"/>
    <col min="10499" max="10500" width="11.453125" style="6" customWidth="1"/>
    <col min="10501" max="10501" width="10.54296875" style="6" customWidth="1"/>
    <col min="10502" max="10503" width="9.1796875" style="6"/>
    <col min="10504" max="10506" width="9.81640625" style="6" bestFit="1" customWidth="1"/>
    <col min="10507" max="10754" width="9.1796875" style="6"/>
    <col min="10755" max="10756" width="11.453125" style="6" customWidth="1"/>
    <col min="10757" max="10757" width="10.54296875" style="6" customWidth="1"/>
    <col min="10758" max="10759" width="9.1796875" style="6"/>
    <col min="10760" max="10762" width="9.81640625" style="6" bestFit="1" customWidth="1"/>
    <col min="10763" max="11010" width="9.1796875" style="6"/>
    <col min="11011" max="11012" width="11.453125" style="6" customWidth="1"/>
    <col min="11013" max="11013" width="10.54296875" style="6" customWidth="1"/>
    <col min="11014" max="11015" width="9.1796875" style="6"/>
    <col min="11016" max="11018" width="9.81640625" style="6" bestFit="1" customWidth="1"/>
    <col min="11019" max="11266" width="9.1796875" style="6"/>
    <col min="11267" max="11268" width="11.453125" style="6" customWidth="1"/>
    <col min="11269" max="11269" width="10.54296875" style="6" customWidth="1"/>
    <col min="11270" max="11271" width="9.1796875" style="6"/>
    <col min="11272" max="11274" width="9.81640625" style="6" bestFit="1" customWidth="1"/>
    <col min="11275" max="11522" width="9.1796875" style="6"/>
    <col min="11523" max="11524" width="11.453125" style="6" customWidth="1"/>
    <col min="11525" max="11525" width="10.54296875" style="6" customWidth="1"/>
    <col min="11526" max="11527" width="9.1796875" style="6"/>
    <col min="11528" max="11530" width="9.81640625" style="6" bestFit="1" customWidth="1"/>
    <col min="11531" max="11778" width="9.1796875" style="6"/>
    <col min="11779" max="11780" width="11.453125" style="6" customWidth="1"/>
    <col min="11781" max="11781" width="10.54296875" style="6" customWidth="1"/>
    <col min="11782" max="11783" width="9.1796875" style="6"/>
    <col min="11784" max="11786" width="9.81640625" style="6" bestFit="1" customWidth="1"/>
    <col min="11787" max="12034" width="9.1796875" style="6"/>
    <col min="12035" max="12036" width="11.453125" style="6" customWidth="1"/>
    <col min="12037" max="12037" width="10.54296875" style="6" customWidth="1"/>
    <col min="12038" max="12039" width="9.1796875" style="6"/>
    <col min="12040" max="12042" width="9.81640625" style="6" bestFit="1" customWidth="1"/>
    <col min="12043" max="12290" width="9.1796875" style="6"/>
    <col min="12291" max="12292" width="11.453125" style="6" customWidth="1"/>
    <col min="12293" max="12293" width="10.54296875" style="6" customWidth="1"/>
    <col min="12294" max="12295" width="9.1796875" style="6"/>
    <col min="12296" max="12298" width="9.81640625" style="6" bestFit="1" customWidth="1"/>
    <col min="12299" max="12546" width="9.1796875" style="6"/>
    <col min="12547" max="12548" width="11.453125" style="6" customWidth="1"/>
    <col min="12549" max="12549" width="10.54296875" style="6" customWidth="1"/>
    <col min="12550" max="12551" width="9.1796875" style="6"/>
    <col min="12552" max="12554" width="9.81640625" style="6" bestFit="1" customWidth="1"/>
    <col min="12555" max="12802" width="9.1796875" style="6"/>
    <col min="12803" max="12804" width="11.453125" style="6" customWidth="1"/>
    <col min="12805" max="12805" width="10.54296875" style="6" customWidth="1"/>
    <col min="12806" max="12807" width="9.1796875" style="6"/>
    <col min="12808" max="12810" width="9.81640625" style="6" bestFit="1" customWidth="1"/>
    <col min="12811" max="13058" width="9.1796875" style="6"/>
    <col min="13059" max="13060" width="11.453125" style="6" customWidth="1"/>
    <col min="13061" max="13061" width="10.54296875" style="6" customWidth="1"/>
    <col min="13062" max="13063" width="9.1796875" style="6"/>
    <col min="13064" max="13066" width="9.81640625" style="6" bestFit="1" customWidth="1"/>
    <col min="13067" max="13314" width="9.1796875" style="6"/>
    <col min="13315" max="13316" width="11.453125" style="6" customWidth="1"/>
    <col min="13317" max="13317" width="10.54296875" style="6" customWidth="1"/>
    <col min="13318" max="13319" width="9.1796875" style="6"/>
    <col min="13320" max="13322" width="9.81640625" style="6" bestFit="1" customWidth="1"/>
    <col min="13323" max="13570" width="9.1796875" style="6"/>
    <col min="13571" max="13572" width="11.453125" style="6" customWidth="1"/>
    <col min="13573" max="13573" width="10.54296875" style="6" customWidth="1"/>
    <col min="13574" max="13575" width="9.1796875" style="6"/>
    <col min="13576" max="13578" width="9.81640625" style="6" bestFit="1" customWidth="1"/>
    <col min="13579" max="13826" width="9.1796875" style="6"/>
    <col min="13827" max="13828" width="11.453125" style="6" customWidth="1"/>
    <col min="13829" max="13829" width="10.54296875" style="6" customWidth="1"/>
    <col min="13830" max="13831" width="9.1796875" style="6"/>
    <col min="13832" max="13834" width="9.81640625" style="6" bestFit="1" customWidth="1"/>
    <col min="13835" max="14082" width="9.1796875" style="6"/>
    <col min="14083" max="14084" width="11.453125" style="6" customWidth="1"/>
    <col min="14085" max="14085" width="10.54296875" style="6" customWidth="1"/>
    <col min="14086" max="14087" width="9.1796875" style="6"/>
    <col min="14088" max="14090" width="9.81640625" style="6" bestFit="1" customWidth="1"/>
    <col min="14091" max="14338" width="9.1796875" style="6"/>
    <col min="14339" max="14340" width="11.453125" style="6" customWidth="1"/>
    <col min="14341" max="14341" width="10.54296875" style="6" customWidth="1"/>
    <col min="14342" max="14343" width="9.1796875" style="6"/>
    <col min="14344" max="14346" width="9.81640625" style="6" bestFit="1" customWidth="1"/>
    <col min="14347" max="14594" width="9.1796875" style="6"/>
    <col min="14595" max="14596" width="11.453125" style="6" customWidth="1"/>
    <col min="14597" max="14597" width="10.54296875" style="6" customWidth="1"/>
    <col min="14598" max="14599" width="9.1796875" style="6"/>
    <col min="14600" max="14602" width="9.81640625" style="6" bestFit="1" customWidth="1"/>
    <col min="14603" max="14850" width="9.1796875" style="6"/>
    <col min="14851" max="14852" width="11.453125" style="6" customWidth="1"/>
    <col min="14853" max="14853" width="10.54296875" style="6" customWidth="1"/>
    <col min="14854" max="14855" width="9.1796875" style="6"/>
    <col min="14856" max="14858" width="9.81640625" style="6" bestFit="1" customWidth="1"/>
    <col min="14859" max="15106" width="9.1796875" style="6"/>
    <col min="15107" max="15108" width="11.453125" style="6" customWidth="1"/>
    <col min="15109" max="15109" width="10.54296875" style="6" customWidth="1"/>
    <col min="15110" max="15111" width="9.1796875" style="6"/>
    <col min="15112" max="15114" width="9.81640625" style="6" bestFit="1" customWidth="1"/>
    <col min="15115" max="15362" width="9.1796875" style="6"/>
    <col min="15363" max="15364" width="11.453125" style="6" customWidth="1"/>
    <col min="15365" max="15365" width="10.54296875" style="6" customWidth="1"/>
    <col min="15366" max="15367" width="9.1796875" style="6"/>
    <col min="15368" max="15370" width="9.81640625" style="6" bestFit="1" customWidth="1"/>
    <col min="15371" max="15618" width="9.1796875" style="6"/>
    <col min="15619" max="15620" width="11.453125" style="6" customWidth="1"/>
    <col min="15621" max="15621" width="10.54296875" style="6" customWidth="1"/>
    <col min="15622" max="15623" width="9.1796875" style="6"/>
    <col min="15624" max="15626" width="9.81640625" style="6" bestFit="1" customWidth="1"/>
    <col min="15627" max="15874" width="9.1796875" style="6"/>
    <col min="15875" max="15876" width="11.453125" style="6" customWidth="1"/>
    <col min="15877" max="15877" width="10.54296875" style="6" customWidth="1"/>
    <col min="15878" max="15879" width="9.1796875" style="6"/>
    <col min="15880" max="15882" width="9.81640625" style="6" bestFit="1" customWidth="1"/>
    <col min="15883" max="16130" width="9.1796875" style="6"/>
    <col min="16131" max="16132" width="11.453125" style="6" customWidth="1"/>
    <col min="16133" max="16133" width="10.54296875" style="6" customWidth="1"/>
    <col min="16134" max="16135" width="9.1796875" style="6"/>
    <col min="16136" max="16138" width="9.81640625" style="6" bestFit="1" customWidth="1"/>
    <col min="16139" max="16384" width="9.1796875" style="6"/>
  </cols>
  <sheetData>
    <row r="1" spans="1:11" x14ac:dyDescent="0.45">
      <c r="A1" s="31" t="s">
        <v>46</v>
      </c>
      <c r="B1" s="31"/>
      <c r="C1" s="31"/>
      <c r="D1" s="31"/>
      <c r="E1" s="31"/>
      <c r="F1" s="31"/>
    </row>
    <row r="2" spans="1:11" x14ac:dyDescent="0.45">
      <c r="A2" s="32" t="s">
        <v>22</v>
      </c>
      <c r="B2" s="33" t="s">
        <v>47</v>
      </c>
      <c r="C2" s="33" t="s">
        <v>48</v>
      </c>
      <c r="D2" s="33" t="s">
        <v>49</v>
      </c>
      <c r="E2" s="33" t="s">
        <v>14</v>
      </c>
    </row>
    <row r="3" spans="1:11" x14ac:dyDescent="0.45">
      <c r="A3" s="34">
        <v>16</v>
      </c>
      <c r="B3" s="35">
        <v>31005</v>
      </c>
      <c r="C3" s="35">
        <v>32993</v>
      </c>
      <c r="D3" s="35">
        <v>83</v>
      </c>
      <c r="E3" s="35">
        <f>SUM(B3:D3)</f>
        <v>64081</v>
      </c>
    </row>
    <row r="4" spans="1:11" x14ac:dyDescent="0.45">
      <c r="A4" s="34">
        <v>17</v>
      </c>
      <c r="B4" s="35">
        <v>70250</v>
      </c>
      <c r="C4" s="35">
        <v>71215</v>
      </c>
      <c r="D4" s="35">
        <v>122</v>
      </c>
      <c r="E4" s="35">
        <f t="shared" ref="E4:E6" si="0">SUM(B4:D4)</f>
        <v>141587</v>
      </c>
    </row>
    <row r="5" spans="1:11" ht="15" customHeight="1" x14ac:dyDescent="0.45">
      <c r="A5" s="34">
        <v>18</v>
      </c>
      <c r="B5" s="35">
        <v>133126</v>
      </c>
      <c r="C5" s="35">
        <v>120359</v>
      </c>
      <c r="D5" s="35">
        <v>275</v>
      </c>
      <c r="E5" s="35">
        <f t="shared" si="0"/>
        <v>253760</v>
      </c>
      <c r="G5" s="73" t="s">
        <v>50</v>
      </c>
      <c r="H5" s="74"/>
      <c r="I5" s="74"/>
      <c r="J5" s="74"/>
      <c r="K5" s="75"/>
    </row>
    <row r="6" spans="1:11" x14ac:dyDescent="0.45">
      <c r="A6" s="34">
        <v>19</v>
      </c>
      <c r="B6" s="35">
        <v>176583</v>
      </c>
      <c r="C6" s="35">
        <v>156417</v>
      </c>
      <c r="D6" s="35">
        <v>254</v>
      </c>
      <c r="E6" s="35">
        <f t="shared" si="0"/>
        <v>333254</v>
      </c>
      <c r="G6" s="52" t="s">
        <v>22</v>
      </c>
      <c r="H6" s="53" t="s">
        <v>14</v>
      </c>
      <c r="I6" s="53" t="s">
        <v>47</v>
      </c>
      <c r="J6" s="53" t="s">
        <v>48</v>
      </c>
      <c r="K6" s="52" t="s">
        <v>49</v>
      </c>
    </row>
    <row r="7" spans="1:11" x14ac:dyDescent="0.45">
      <c r="A7" s="36" t="s">
        <v>29</v>
      </c>
      <c r="B7" s="37">
        <f>SUM(B3:B6)</f>
        <v>410964</v>
      </c>
      <c r="C7" s="37">
        <f>SUM(C3:C6)</f>
        <v>380984</v>
      </c>
      <c r="D7" s="37">
        <f>SUM(D3:D6)</f>
        <v>734</v>
      </c>
      <c r="E7" s="37">
        <f>SUM(E3:E6)</f>
        <v>792682</v>
      </c>
      <c r="G7" s="52" t="str">
        <f>A7</f>
        <v>15-19</v>
      </c>
      <c r="H7" s="54">
        <f>E7</f>
        <v>792682</v>
      </c>
      <c r="I7" s="54">
        <f>B7</f>
        <v>410964</v>
      </c>
      <c r="J7" s="54">
        <f>C7</f>
        <v>380984</v>
      </c>
      <c r="K7" s="54">
        <f>D7</f>
        <v>734</v>
      </c>
    </row>
    <row r="8" spans="1:11" x14ac:dyDescent="0.45">
      <c r="A8" s="34">
        <v>20</v>
      </c>
      <c r="B8" s="35">
        <v>192110</v>
      </c>
      <c r="C8" s="35">
        <v>171901</v>
      </c>
      <c r="D8" s="35">
        <v>261</v>
      </c>
      <c r="E8" s="35">
        <f>SUM(B8:D8)</f>
        <v>364272</v>
      </c>
      <c r="G8" s="52" t="str">
        <f>A13</f>
        <v>20-24</v>
      </c>
      <c r="H8" s="54">
        <f>E13</f>
        <v>2119980</v>
      </c>
      <c r="I8" s="54">
        <f>B13</f>
        <v>1104174</v>
      </c>
      <c r="J8" s="54">
        <f>C13</f>
        <v>1013827</v>
      </c>
      <c r="K8" s="54">
        <f>D13</f>
        <v>1979</v>
      </c>
    </row>
    <row r="9" spans="1:11" x14ac:dyDescent="0.45">
      <c r="A9" s="34">
        <v>21</v>
      </c>
      <c r="B9" s="35">
        <v>213290</v>
      </c>
      <c r="C9" s="35">
        <v>195707</v>
      </c>
      <c r="D9" s="35">
        <v>332</v>
      </c>
      <c r="E9" s="35">
        <f t="shared" ref="E9:E12" si="1">SUM(B9:D9)</f>
        <v>409329</v>
      </c>
      <c r="G9" s="52" t="str">
        <f>A19</f>
        <v>25-29</v>
      </c>
      <c r="H9" s="54">
        <f>E19</f>
        <v>2594726</v>
      </c>
      <c r="I9" s="54">
        <f>B19</f>
        <v>1332692</v>
      </c>
      <c r="J9" s="54">
        <f>C19</f>
        <v>1259762</v>
      </c>
      <c r="K9" s="54">
        <f>D19</f>
        <v>2272</v>
      </c>
    </row>
    <row r="10" spans="1:11" x14ac:dyDescent="0.45">
      <c r="A10" s="34">
        <v>22</v>
      </c>
      <c r="B10" s="35">
        <v>223360</v>
      </c>
      <c r="C10" s="35">
        <v>205322</v>
      </c>
      <c r="D10" s="35">
        <v>452</v>
      </c>
      <c r="E10" s="35">
        <f t="shared" si="1"/>
        <v>429134</v>
      </c>
      <c r="G10" s="52" t="str">
        <f>A25</f>
        <v>30-34</v>
      </c>
      <c r="H10" s="54">
        <f>E25</f>
        <v>2794256</v>
      </c>
      <c r="I10" s="54">
        <f>B25</f>
        <v>1428084</v>
      </c>
      <c r="J10" s="54">
        <f>C25</f>
        <v>1364572</v>
      </c>
      <c r="K10" s="54">
        <f>D25</f>
        <v>1600</v>
      </c>
    </row>
    <row r="11" spans="1:11" x14ac:dyDescent="0.45">
      <c r="A11" s="34">
        <v>23</v>
      </c>
      <c r="B11" s="35">
        <v>232096</v>
      </c>
      <c r="C11" s="35">
        <v>214444</v>
      </c>
      <c r="D11" s="35">
        <v>482</v>
      </c>
      <c r="E11" s="35">
        <f t="shared" si="1"/>
        <v>447022</v>
      </c>
      <c r="G11" s="52" t="str">
        <f>A31</f>
        <v>35-39</v>
      </c>
      <c r="H11" s="54">
        <f>E31</f>
        <v>2667620</v>
      </c>
      <c r="I11" s="54">
        <f>B31</f>
        <v>1360748</v>
      </c>
      <c r="J11" s="54">
        <f>C31</f>
        <v>1305939</v>
      </c>
      <c r="K11" s="54">
        <f>D31</f>
        <v>933</v>
      </c>
    </row>
    <row r="12" spans="1:11" x14ac:dyDescent="0.45">
      <c r="A12" s="34">
        <v>24</v>
      </c>
      <c r="B12" s="35">
        <v>243318</v>
      </c>
      <c r="C12" s="35">
        <v>226453</v>
      </c>
      <c r="D12" s="35">
        <v>452</v>
      </c>
      <c r="E12" s="35">
        <f t="shared" si="1"/>
        <v>470223</v>
      </c>
      <c r="G12" s="52" t="str">
        <f>A37</f>
        <v>40-44</v>
      </c>
      <c r="H12" s="54">
        <f>E37</f>
        <v>2468900</v>
      </c>
      <c r="I12" s="54">
        <f>B37</f>
        <v>1250355</v>
      </c>
      <c r="J12" s="54">
        <f>C37</f>
        <v>1218064</v>
      </c>
      <c r="K12" s="54">
        <f>D37</f>
        <v>481</v>
      </c>
    </row>
    <row r="13" spans="1:11" x14ac:dyDescent="0.45">
      <c r="A13" s="36" t="s">
        <v>30</v>
      </c>
      <c r="B13" s="37">
        <f>SUM(B8:B12)</f>
        <v>1104174</v>
      </c>
      <c r="C13" s="37">
        <f>SUM(C8:C12)</f>
        <v>1013827</v>
      </c>
      <c r="D13" s="37">
        <f>SUM(D8:D12)</f>
        <v>1979</v>
      </c>
      <c r="E13" s="37">
        <f>SUM(E8:E12)</f>
        <v>2119980</v>
      </c>
      <c r="G13" s="52" t="str">
        <f>A43</f>
        <v>45-49</v>
      </c>
      <c r="H13" s="54">
        <f>E43</f>
        <v>2271179</v>
      </c>
      <c r="I13" s="54">
        <f>B43</f>
        <v>1144770</v>
      </c>
      <c r="J13" s="54">
        <f>C43</f>
        <v>1126148</v>
      </c>
      <c r="K13" s="54">
        <f>D43</f>
        <v>261</v>
      </c>
    </row>
    <row r="14" spans="1:11" x14ac:dyDescent="0.45">
      <c r="A14" s="34">
        <v>25</v>
      </c>
      <c r="B14" s="35">
        <v>250558</v>
      </c>
      <c r="C14" s="35">
        <v>234056</v>
      </c>
      <c r="D14" s="35">
        <v>488</v>
      </c>
      <c r="E14" s="35">
        <f>SUM(B14:D14)</f>
        <v>485102</v>
      </c>
      <c r="G14" s="52" t="str">
        <f>A49</f>
        <v>50-54</v>
      </c>
      <c r="H14" s="54">
        <f>E49</f>
        <v>2346473</v>
      </c>
      <c r="I14" s="54">
        <f>B49</f>
        <v>1191812</v>
      </c>
      <c r="J14" s="54">
        <f>C49</f>
        <v>1154456</v>
      </c>
      <c r="K14" s="54">
        <f>D49</f>
        <v>205</v>
      </c>
    </row>
    <row r="15" spans="1:11" x14ac:dyDescent="0.45">
      <c r="A15" s="34">
        <v>26</v>
      </c>
      <c r="B15" s="35">
        <v>256326</v>
      </c>
      <c r="C15" s="35">
        <v>245599</v>
      </c>
      <c r="D15" s="35">
        <v>432</v>
      </c>
      <c r="E15" s="35">
        <f t="shared" ref="E15:E18" si="2">SUM(B15:D15)</f>
        <v>502357</v>
      </c>
      <c r="G15" s="52" t="str">
        <f>A55</f>
        <v>55-59</v>
      </c>
      <c r="H15" s="54">
        <f>E55</f>
        <v>2296909</v>
      </c>
      <c r="I15" s="54">
        <f>B55</f>
        <v>1170620</v>
      </c>
      <c r="J15" s="54">
        <f>C55</f>
        <v>1126139</v>
      </c>
      <c r="K15" s="54">
        <f>D55</f>
        <v>150</v>
      </c>
    </row>
    <row r="16" spans="1:11" x14ac:dyDescent="0.45">
      <c r="A16" s="34">
        <v>27</v>
      </c>
      <c r="B16" s="35">
        <v>269313</v>
      </c>
      <c r="C16" s="35">
        <v>252233</v>
      </c>
      <c r="D16" s="35">
        <v>532</v>
      </c>
      <c r="E16" s="35">
        <f t="shared" si="2"/>
        <v>522078</v>
      </c>
      <c r="G16" s="52" t="str">
        <f>A61</f>
        <v>60-64</v>
      </c>
      <c r="H16" s="54">
        <f>E61</f>
        <v>2181863</v>
      </c>
      <c r="I16" s="54">
        <f>B61</f>
        <v>1103710</v>
      </c>
      <c r="J16" s="54">
        <f>C61</f>
        <v>1078040</v>
      </c>
      <c r="K16" s="54">
        <f>D61</f>
        <v>113</v>
      </c>
    </row>
    <row r="17" spans="1:11" x14ac:dyDescent="0.45">
      <c r="A17" s="34">
        <v>28</v>
      </c>
      <c r="B17" s="35">
        <v>273169</v>
      </c>
      <c r="C17" s="35">
        <v>257848</v>
      </c>
      <c r="D17" s="35">
        <v>388</v>
      </c>
      <c r="E17" s="35">
        <f t="shared" si="2"/>
        <v>531405</v>
      </c>
      <c r="G17" s="52" t="str">
        <f>A67</f>
        <v>65-69</v>
      </c>
      <c r="H17" s="54">
        <f>E67</f>
        <v>1840482</v>
      </c>
      <c r="I17" s="54">
        <f>B67</f>
        <v>918526</v>
      </c>
      <c r="J17" s="54">
        <f>C67</f>
        <v>921896</v>
      </c>
      <c r="K17" s="54">
        <f>D67</f>
        <v>60</v>
      </c>
    </row>
    <row r="18" spans="1:11" x14ac:dyDescent="0.45">
      <c r="A18" s="34">
        <v>29</v>
      </c>
      <c r="B18" s="35">
        <v>283326</v>
      </c>
      <c r="C18" s="35">
        <v>270026</v>
      </c>
      <c r="D18" s="35">
        <v>432</v>
      </c>
      <c r="E18" s="35">
        <f t="shared" si="2"/>
        <v>553784</v>
      </c>
      <c r="G18" s="52" t="str">
        <f>A73</f>
        <v>70-74</v>
      </c>
      <c r="H18" s="54">
        <f>E73</f>
        <v>1391852</v>
      </c>
      <c r="I18" s="54">
        <f>B73</f>
        <v>688241</v>
      </c>
      <c r="J18" s="54">
        <f>C73</f>
        <v>703564</v>
      </c>
      <c r="K18" s="54">
        <f>D73</f>
        <v>47</v>
      </c>
    </row>
    <row r="19" spans="1:11" x14ac:dyDescent="0.45">
      <c r="A19" s="36" t="s">
        <v>31</v>
      </c>
      <c r="B19" s="37">
        <f>SUM(B14:B18)</f>
        <v>1332692</v>
      </c>
      <c r="C19" s="37">
        <f>SUM(C14:C18)</f>
        <v>1259762</v>
      </c>
      <c r="D19" s="37">
        <f>SUM(D14:D18)</f>
        <v>2272</v>
      </c>
      <c r="E19" s="37">
        <f>SUM(E14:E18)</f>
        <v>2594726</v>
      </c>
      <c r="G19" s="52" t="str">
        <f>A79</f>
        <v>75-79</v>
      </c>
      <c r="H19" s="54">
        <f>E79</f>
        <v>878455</v>
      </c>
      <c r="I19" s="54">
        <f>B79</f>
        <v>435586</v>
      </c>
      <c r="J19" s="54">
        <f>C79</f>
        <v>442849</v>
      </c>
      <c r="K19" s="54">
        <f>D79</f>
        <v>20</v>
      </c>
    </row>
    <row r="20" spans="1:11" x14ac:dyDescent="0.45">
      <c r="A20" s="34">
        <v>30</v>
      </c>
      <c r="B20" s="35">
        <v>286826</v>
      </c>
      <c r="C20" s="35">
        <v>272058</v>
      </c>
      <c r="D20" s="35">
        <v>420</v>
      </c>
      <c r="E20" s="35">
        <f>SUM(B20:D20)</f>
        <v>559304</v>
      </c>
      <c r="G20" s="52" t="str">
        <f>A85</f>
        <v>80-84</v>
      </c>
      <c r="H20" s="54">
        <f>E85</f>
        <v>485545</v>
      </c>
      <c r="I20" s="54">
        <f>B85</f>
        <v>239978</v>
      </c>
      <c r="J20" s="54">
        <f>C85</f>
        <v>245567</v>
      </c>
      <c r="K20" s="54">
        <f>D85</f>
        <v>0</v>
      </c>
    </row>
    <row r="21" spans="1:11" x14ac:dyDescent="0.45">
      <c r="A21" s="34">
        <v>31</v>
      </c>
      <c r="B21" s="35">
        <v>293192</v>
      </c>
      <c r="C21" s="35">
        <v>279102</v>
      </c>
      <c r="D21" s="35">
        <v>280</v>
      </c>
      <c r="E21" s="35">
        <f t="shared" ref="E21:E24" si="3">SUM(B21:D21)</f>
        <v>572574</v>
      </c>
      <c r="G21" s="52" t="str">
        <f>A91</f>
        <v>85-89</v>
      </c>
      <c r="H21" s="54">
        <f>E91</f>
        <v>233689</v>
      </c>
      <c r="I21" s="54">
        <f t="shared" ref="I21:K22" si="4">B91</f>
        <v>117235</v>
      </c>
      <c r="J21" s="54">
        <f t="shared" si="4"/>
        <v>116454</v>
      </c>
      <c r="K21" s="54">
        <f t="shared" si="4"/>
        <v>0</v>
      </c>
    </row>
    <row r="22" spans="1:11" x14ac:dyDescent="0.45">
      <c r="A22" s="34">
        <v>32</v>
      </c>
      <c r="B22" s="35">
        <v>283798</v>
      </c>
      <c r="C22" s="35">
        <v>274658</v>
      </c>
      <c r="D22" s="35">
        <v>300</v>
      </c>
      <c r="E22" s="35">
        <f t="shared" si="3"/>
        <v>558756</v>
      </c>
      <c r="G22" s="52" t="str">
        <f>A92</f>
        <v>90+</v>
      </c>
      <c r="H22" s="54">
        <f>E92</f>
        <v>97498</v>
      </c>
      <c r="I22" s="54">
        <f t="shared" si="4"/>
        <v>49156</v>
      </c>
      <c r="J22" s="54">
        <f t="shared" si="4"/>
        <v>48342</v>
      </c>
      <c r="K22" s="54">
        <f t="shared" si="4"/>
        <v>0</v>
      </c>
    </row>
    <row r="23" spans="1:11" x14ac:dyDescent="0.45">
      <c r="A23" s="34">
        <v>33</v>
      </c>
      <c r="B23" s="35">
        <v>284029</v>
      </c>
      <c r="C23" s="35">
        <v>271695</v>
      </c>
      <c r="D23" s="35">
        <v>350</v>
      </c>
      <c r="E23" s="35">
        <f t="shared" si="3"/>
        <v>556074</v>
      </c>
      <c r="G23" s="52" t="s">
        <v>14</v>
      </c>
      <c r="H23" s="54">
        <f>SUM(H7:H22)</f>
        <v>27462109</v>
      </c>
      <c r="I23" s="54">
        <f>SUM(I7:I22)</f>
        <v>13946651</v>
      </c>
      <c r="J23" s="54">
        <f>SUM(J7:J22)</f>
        <v>13506603</v>
      </c>
      <c r="K23" s="54">
        <f>SUM(K7:K22)</f>
        <v>8855</v>
      </c>
    </row>
    <row r="24" spans="1:11" x14ac:dyDescent="0.45">
      <c r="A24" s="34">
        <v>34</v>
      </c>
      <c r="B24" s="35">
        <v>280239</v>
      </c>
      <c r="C24" s="35">
        <v>267059</v>
      </c>
      <c r="D24" s="35">
        <v>250</v>
      </c>
      <c r="E24" s="35">
        <f t="shared" si="3"/>
        <v>547548</v>
      </c>
    </row>
    <row r="25" spans="1:11" x14ac:dyDescent="0.45">
      <c r="A25" s="36" t="s">
        <v>32</v>
      </c>
      <c r="B25" s="37">
        <f>SUM(B20:B24)</f>
        <v>1428084</v>
      </c>
      <c r="C25" s="37">
        <f>SUM(C20:C24)</f>
        <v>1364572</v>
      </c>
      <c r="D25" s="37">
        <f>SUM(D20:D24)</f>
        <v>1600</v>
      </c>
      <c r="E25" s="37">
        <f>SUM(E20:E24)</f>
        <v>2794256</v>
      </c>
    </row>
    <row r="26" spans="1:11" x14ac:dyDescent="0.45">
      <c r="A26" s="34">
        <v>35</v>
      </c>
      <c r="B26" s="35">
        <v>275368</v>
      </c>
      <c r="C26" s="35">
        <v>259728</v>
      </c>
      <c r="D26" s="35">
        <v>295</v>
      </c>
      <c r="E26" s="35">
        <f>SUM(B26:D26)</f>
        <v>535391</v>
      </c>
    </row>
    <row r="27" spans="1:11" x14ac:dyDescent="0.45">
      <c r="A27" s="34">
        <v>36</v>
      </c>
      <c r="B27" s="35">
        <v>278157</v>
      </c>
      <c r="C27" s="35">
        <v>262559</v>
      </c>
      <c r="D27" s="35">
        <v>276</v>
      </c>
      <c r="E27" s="35">
        <f t="shared" ref="E27:E30" si="5">SUM(B27:D27)</f>
        <v>540992</v>
      </c>
    </row>
    <row r="28" spans="1:11" x14ac:dyDescent="0.45">
      <c r="A28" s="34">
        <v>37</v>
      </c>
      <c r="B28" s="35">
        <v>267363</v>
      </c>
      <c r="C28" s="35">
        <v>261608</v>
      </c>
      <c r="D28" s="35">
        <v>95</v>
      </c>
      <c r="E28" s="35">
        <f t="shared" si="5"/>
        <v>529066</v>
      </c>
    </row>
    <row r="29" spans="1:11" x14ac:dyDescent="0.45">
      <c r="A29" s="34">
        <v>38</v>
      </c>
      <c r="B29" s="35">
        <v>268586</v>
      </c>
      <c r="C29" s="35">
        <v>260638</v>
      </c>
      <c r="D29" s="35">
        <v>162</v>
      </c>
      <c r="E29" s="35">
        <f t="shared" si="5"/>
        <v>529386</v>
      </c>
    </row>
    <row r="30" spans="1:11" x14ac:dyDescent="0.45">
      <c r="A30" s="34">
        <v>39</v>
      </c>
      <c r="B30" s="35">
        <v>271274</v>
      </c>
      <c r="C30" s="35">
        <v>261406</v>
      </c>
      <c r="D30" s="35">
        <v>105</v>
      </c>
      <c r="E30" s="35">
        <f t="shared" si="5"/>
        <v>532785</v>
      </c>
    </row>
    <row r="31" spans="1:11" x14ac:dyDescent="0.45">
      <c r="A31" s="36" t="s">
        <v>33</v>
      </c>
      <c r="B31" s="37">
        <f>SUM(B26:B30)</f>
        <v>1360748</v>
      </c>
      <c r="C31" s="37">
        <f>SUM(C26:C30)</f>
        <v>1305939</v>
      </c>
      <c r="D31" s="37">
        <f>SUM(D26:D30)</f>
        <v>933</v>
      </c>
      <c r="E31" s="37">
        <f>SUM(E26:E30)</f>
        <v>2667620</v>
      </c>
    </row>
    <row r="32" spans="1:11" x14ac:dyDescent="0.45">
      <c r="A32" s="34">
        <v>40</v>
      </c>
      <c r="B32" s="35">
        <v>263571</v>
      </c>
      <c r="C32" s="35">
        <v>257147</v>
      </c>
      <c r="D32" s="35">
        <v>165</v>
      </c>
      <c r="E32" s="35">
        <f>SUM(B32:D32)</f>
        <v>520883</v>
      </c>
    </row>
    <row r="33" spans="1:5" x14ac:dyDescent="0.45">
      <c r="A33" s="34">
        <v>41</v>
      </c>
      <c r="B33" s="35">
        <v>260323</v>
      </c>
      <c r="C33" s="35">
        <v>249575</v>
      </c>
      <c r="D33" s="35">
        <v>68</v>
      </c>
      <c r="E33" s="35">
        <f t="shared" ref="E33:E36" si="6">SUM(B33:D33)</f>
        <v>509966</v>
      </c>
    </row>
    <row r="34" spans="1:5" x14ac:dyDescent="0.45">
      <c r="A34" s="34">
        <v>42</v>
      </c>
      <c r="B34" s="35">
        <v>250097</v>
      </c>
      <c r="C34" s="35">
        <v>242102</v>
      </c>
      <c r="D34" s="35">
        <v>75</v>
      </c>
      <c r="E34" s="35">
        <f t="shared" si="6"/>
        <v>492274</v>
      </c>
    </row>
    <row r="35" spans="1:5" x14ac:dyDescent="0.45">
      <c r="A35" s="34">
        <v>43</v>
      </c>
      <c r="B35" s="35">
        <v>236955</v>
      </c>
      <c r="C35" s="35">
        <v>234270</v>
      </c>
      <c r="D35" s="35">
        <v>105</v>
      </c>
      <c r="E35" s="35">
        <f t="shared" si="6"/>
        <v>471330</v>
      </c>
    </row>
    <row r="36" spans="1:5" x14ac:dyDescent="0.45">
      <c r="A36" s="34">
        <v>44</v>
      </c>
      <c r="B36" s="35">
        <v>239409</v>
      </c>
      <c r="C36" s="35">
        <v>234970</v>
      </c>
      <c r="D36" s="35">
        <v>68</v>
      </c>
      <c r="E36" s="35">
        <f t="shared" si="6"/>
        <v>474447</v>
      </c>
    </row>
    <row r="37" spans="1:5" x14ac:dyDescent="0.45">
      <c r="A37" s="36" t="s">
        <v>34</v>
      </c>
      <c r="B37" s="37">
        <f>SUM(B32:B36)</f>
        <v>1250355</v>
      </c>
      <c r="C37" s="37">
        <f>SUM(C32:C36)</f>
        <v>1218064</v>
      </c>
      <c r="D37" s="37">
        <f>SUM(D32:D36)</f>
        <v>481</v>
      </c>
      <c r="E37" s="37">
        <f>SUM(E32:E36)</f>
        <v>2468900</v>
      </c>
    </row>
    <row r="38" spans="1:5" x14ac:dyDescent="0.45">
      <c r="A38" s="34">
        <v>45</v>
      </c>
      <c r="B38" s="35">
        <v>231135</v>
      </c>
      <c r="C38" s="35">
        <v>227680</v>
      </c>
      <c r="D38" s="35">
        <v>49</v>
      </c>
      <c r="E38" s="35">
        <f>SUM(B38:D38)</f>
        <v>458864</v>
      </c>
    </row>
    <row r="39" spans="1:5" x14ac:dyDescent="0.45">
      <c r="A39" s="34">
        <v>46</v>
      </c>
      <c r="B39" s="35">
        <v>226811</v>
      </c>
      <c r="C39" s="35">
        <v>225310</v>
      </c>
      <c r="D39" s="35">
        <v>57</v>
      </c>
      <c r="E39" s="35">
        <f t="shared" ref="E39:E42" si="7">SUM(B39:D39)</f>
        <v>452178</v>
      </c>
    </row>
    <row r="40" spans="1:5" x14ac:dyDescent="0.45">
      <c r="A40" s="34">
        <v>47</v>
      </c>
      <c r="B40" s="35">
        <v>228306</v>
      </c>
      <c r="C40" s="35">
        <v>223929</v>
      </c>
      <c r="D40" s="35">
        <v>57</v>
      </c>
      <c r="E40" s="35">
        <f t="shared" si="7"/>
        <v>452292</v>
      </c>
    </row>
    <row r="41" spans="1:5" x14ac:dyDescent="0.45">
      <c r="A41" s="34">
        <v>48</v>
      </c>
      <c r="B41" s="35">
        <v>228246</v>
      </c>
      <c r="C41" s="35">
        <v>222399</v>
      </c>
      <c r="D41" s="35">
        <v>57</v>
      </c>
      <c r="E41" s="35">
        <f t="shared" si="7"/>
        <v>450702</v>
      </c>
    </row>
    <row r="42" spans="1:5" x14ac:dyDescent="0.45">
      <c r="A42" s="34">
        <v>49</v>
      </c>
      <c r="B42" s="35">
        <v>230272</v>
      </c>
      <c r="C42" s="35">
        <v>226830</v>
      </c>
      <c r="D42" s="35">
        <v>41</v>
      </c>
      <c r="E42" s="35">
        <f t="shared" si="7"/>
        <v>457143</v>
      </c>
    </row>
    <row r="43" spans="1:5" x14ac:dyDescent="0.45">
      <c r="A43" s="36" t="s">
        <v>35</v>
      </c>
      <c r="B43" s="37">
        <f>SUM(B38:B42)</f>
        <v>1144770</v>
      </c>
      <c r="C43" s="37">
        <f>SUM(C38:C42)</f>
        <v>1126148</v>
      </c>
      <c r="D43" s="37">
        <f>SUM(D38:D42)</f>
        <v>261</v>
      </c>
      <c r="E43" s="37">
        <f>SUM(E38:E42)</f>
        <v>2271179</v>
      </c>
    </row>
    <row r="44" spans="1:5" x14ac:dyDescent="0.45">
      <c r="A44" s="34">
        <v>50</v>
      </c>
      <c r="B44" s="35">
        <v>238544</v>
      </c>
      <c r="C44" s="35">
        <v>236587</v>
      </c>
      <c r="D44" s="35">
        <v>23</v>
      </c>
      <c r="E44" s="35">
        <f>SUM(B44:D44)</f>
        <v>475154</v>
      </c>
    </row>
    <row r="45" spans="1:5" x14ac:dyDescent="0.45">
      <c r="A45" s="34">
        <v>51</v>
      </c>
      <c r="B45" s="35">
        <v>249125</v>
      </c>
      <c r="C45" s="35">
        <v>241513</v>
      </c>
      <c r="D45" s="35">
        <v>68</v>
      </c>
      <c r="E45" s="35">
        <f t="shared" ref="E45:E48" si="8">SUM(B45:D45)</f>
        <v>490706</v>
      </c>
    </row>
    <row r="46" spans="1:5" x14ac:dyDescent="0.45">
      <c r="A46" s="34">
        <v>52</v>
      </c>
      <c r="B46" s="35">
        <v>239102</v>
      </c>
      <c r="C46" s="35">
        <v>233154</v>
      </c>
      <c r="D46" s="35">
        <v>46</v>
      </c>
      <c r="E46" s="35">
        <f t="shared" si="8"/>
        <v>472302</v>
      </c>
    </row>
    <row r="47" spans="1:5" x14ac:dyDescent="0.45">
      <c r="A47" s="34">
        <v>53</v>
      </c>
      <c r="B47" s="35">
        <v>236001</v>
      </c>
      <c r="C47" s="35">
        <v>224099</v>
      </c>
      <c r="D47" s="35">
        <v>34</v>
      </c>
      <c r="E47" s="35">
        <f t="shared" si="8"/>
        <v>460134</v>
      </c>
    </row>
    <row r="48" spans="1:5" x14ac:dyDescent="0.45">
      <c r="A48" s="38">
        <v>54</v>
      </c>
      <c r="B48" s="35">
        <v>229040</v>
      </c>
      <c r="C48" s="35">
        <v>219103</v>
      </c>
      <c r="D48" s="35">
        <v>34</v>
      </c>
      <c r="E48" s="35">
        <f t="shared" si="8"/>
        <v>448177</v>
      </c>
    </row>
    <row r="49" spans="1:5" x14ac:dyDescent="0.45">
      <c r="A49" s="36" t="s">
        <v>36</v>
      </c>
      <c r="B49" s="37">
        <f>SUM(B44:B48)</f>
        <v>1191812</v>
      </c>
      <c r="C49" s="37">
        <f>SUM(C44:C48)</f>
        <v>1154456</v>
      </c>
      <c r="D49" s="37">
        <f>SUM(D44:D48)</f>
        <v>205</v>
      </c>
      <c r="E49" s="37">
        <f>SUM(E44:E48)</f>
        <v>2346473</v>
      </c>
    </row>
    <row r="50" spans="1:5" x14ac:dyDescent="0.45">
      <c r="A50" s="34">
        <v>55</v>
      </c>
      <c r="B50" s="35">
        <v>229610</v>
      </c>
      <c r="C50" s="35">
        <v>219291</v>
      </c>
      <c r="D50" s="35">
        <v>35</v>
      </c>
      <c r="E50" s="35">
        <f>SUM(B50:D50)</f>
        <v>448936</v>
      </c>
    </row>
    <row r="51" spans="1:5" x14ac:dyDescent="0.45">
      <c r="A51" s="34">
        <v>56</v>
      </c>
      <c r="B51" s="35">
        <v>229248</v>
      </c>
      <c r="C51" s="35">
        <v>222313</v>
      </c>
      <c r="D51" s="35">
        <v>18</v>
      </c>
      <c r="E51" s="35">
        <f t="shared" ref="E51:E54" si="9">SUM(B51:D51)</f>
        <v>451579</v>
      </c>
    </row>
    <row r="52" spans="1:5" x14ac:dyDescent="0.45">
      <c r="A52" s="34">
        <v>57</v>
      </c>
      <c r="B52" s="35">
        <v>236107</v>
      </c>
      <c r="C52" s="35">
        <v>226870</v>
      </c>
      <c r="D52" s="35">
        <v>18</v>
      </c>
      <c r="E52" s="35">
        <f t="shared" si="9"/>
        <v>462995</v>
      </c>
    </row>
    <row r="53" spans="1:5" x14ac:dyDescent="0.45">
      <c r="A53" s="34">
        <v>58</v>
      </c>
      <c r="B53" s="35">
        <v>240533</v>
      </c>
      <c r="C53" s="35">
        <v>230775</v>
      </c>
      <c r="D53" s="35">
        <v>61</v>
      </c>
      <c r="E53" s="35">
        <f t="shared" si="9"/>
        <v>471369</v>
      </c>
    </row>
    <row r="54" spans="1:5" x14ac:dyDescent="0.45">
      <c r="A54" s="34">
        <v>59</v>
      </c>
      <c r="B54" s="35">
        <v>235122</v>
      </c>
      <c r="C54" s="35">
        <v>226890</v>
      </c>
      <c r="D54" s="35">
        <v>18</v>
      </c>
      <c r="E54" s="35">
        <f t="shared" si="9"/>
        <v>462030</v>
      </c>
    </row>
    <row r="55" spans="1:5" x14ac:dyDescent="0.45">
      <c r="A55" s="36" t="s">
        <v>37</v>
      </c>
      <c r="B55" s="37">
        <f>SUM(B50:B54)</f>
        <v>1170620</v>
      </c>
      <c r="C55" s="37">
        <f>SUM(C50:C54)</f>
        <v>1126139</v>
      </c>
      <c r="D55" s="37">
        <f>SUM(D50:D54)</f>
        <v>150</v>
      </c>
      <c r="E55" s="37">
        <f>SUM(E50:E54)</f>
        <v>2296909</v>
      </c>
    </row>
    <row r="56" spans="1:5" x14ac:dyDescent="0.45">
      <c r="A56" s="34">
        <v>60</v>
      </c>
      <c r="B56" s="35">
        <v>230728</v>
      </c>
      <c r="C56" s="35">
        <v>225985</v>
      </c>
      <c r="D56" s="35">
        <v>24</v>
      </c>
      <c r="E56" s="35">
        <f>SUM(B56:D56)</f>
        <v>456737</v>
      </c>
    </row>
    <row r="57" spans="1:5" x14ac:dyDescent="0.45">
      <c r="A57" s="34">
        <v>61</v>
      </c>
      <c r="B57" s="35">
        <v>227554</v>
      </c>
      <c r="C57" s="35">
        <v>219276</v>
      </c>
      <c r="D57" s="35">
        <v>24</v>
      </c>
      <c r="E57" s="35">
        <f t="shared" ref="E57:E60" si="10">SUM(B57:D57)</f>
        <v>446854</v>
      </c>
    </row>
    <row r="58" spans="1:5" x14ac:dyDescent="0.45">
      <c r="A58" s="34">
        <v>62</v>
      </c>
      <c r="B58" s="35">
        <v>221679</v>
      </c>
      <c r="C58" s="35">
        <v>215262</v>
      </c>
      <c r="D58" s="35">
        <v>33</v>
      </c>
      <c r="E58" s="35">
        <f t="shared" si="10"/>
        <v>436974</v>
      </c>
    </row>
    <row r="59" spans="1:5" x14ac:dyDescent="0.45">
      <c r="A59" s="34">
        <v>63</v>
      </c>
      <c r="B59" s="35">
        <v>214031</v>
      </c>
      <c r="C59" s="35">
        <v>210645</v>
      </c>
      <c r="D59" s="35">
        <v>8</v>
      </c>
      <c r="E59" s="35">
        <f t="shared" si="10"/>
        <v>424684</v>
      </c>
    </row>
    <row r="60" spans="1:5" x14ac:dyDescent="0.45">
      <c r="A60" s="34">
        <v>64</v>
      </c>
      <c r="B60" s="35">
        <v>209718</v>
      </c>
      <c r="C60" s="35">
        <v>206872</v>
      </c>
      <c r="D60" s="35">
        <v>24</v>
      </c>
      <c r="E60" s="35">
        <f t="shared" si="10"/>
        <v>416614</v>
      </c>
    </row>
    <row r="61" spans="1:5" x14ac:dyDescent="0.45">
      <c r="A61" s="36" t="s">
        <v>38</v>
      </c>
      <c r="B61" s="37">
        <f>SUM(B56:B60)</f>
        <v>1103710</v>
      </c>
      <c r="C61" s="37">
        <f>SUM(C56:C60)</f>
        <v>1078040</v>
      </c>
      <c r="D61" s="37">
        <f>SUM(D56:D60)</f>
        <v>113</v>
      </c>
      <c r="E61" s="37">
        <f>SUM(E56:E60)</f>
        <v>2181863</v>
      </c>
    </row>
    <row r="62" spans="1:5" x14ac:dyDescent="0.45">
      <c r="A62" s="34">
        <v>65</v>
      </c>
      <c r="B62" s="35">
        <v>203729</v>
      </c>
      <c r="C62" s="35">
        <v>200770</v>
      </c>
      <c r="D62" s="35">
        <v>30</v>
      </c>
      <c r="E62" s="35">
        <f>SUM(B62:D62)</f>
        <v>404529</v>
      </c>
    </row>
    <row r="63" spans="1:5" x14ac:dyDescent="0.45">
      <c r="A63" s="34">
        <v>66</v>
      </c>
      <c r="B63" s="35">
        <v>190819</v>
      </c>
      <c r="C63" s="35">
        <v>191930</v>
      </c>
      <c r="D63" s="35">
        <v>15</v>
      </c>
      <c r="E63" s="35">
        <f t="shared" ref="E63:E66" si="11">SUM(B63:D63)</f>
        <v>382764</v>
      </c>
    </row>
    <row r="64" spans="1:5" x14ac:dyDescent="0.45">
      <c r="A64" s="34">
        <v>67</v>
      </c>
      <c r="B64" s="35">
        <v>184354</v>
      </c>
      <c r="C64" s="35">
        <v>185785</v>
      </c>
      <c r="D64" s="35">
        <v>0</v>
      </c>
      <c r="E64" s="35">
        <f t="shared" si="11"/>
        <v>370139</v>
      </c>
    </row>
    <row r="65" spans="1:5" x14ac:dyDescent="0.45">
      <c r="A65" s="34">
        <v>68</v>
      </c>
      <c r="B65" s="35">
        <v>173745</v>
      </c>
      <c r="C65" s="35">
        <v>174632</v>
      </c>
      <c r="D65" s="35">
        <v>15</v>
      </c>
      <c r="E65" s="35">
        <f t="shared" si="11"/>
        <v>348392</v>
      </c>
    </row>
    <row r="66" spans="1:5" x14ac:dyDescent="0.45">
      <c r="A66" s="34">
        <v>69</v>
      </c>
      <c r="B66" s="35">
        <v>165879</v>
      </c>
      <c r="C66" s="35">
        <v>168779</v>
      </c>
      <c r="D66" s="35">
        <v>0</v>
      </c>
      <c r="E66" s="35">
        <f t="shared" si="11"/>
        <v>334658</v>
      </c>
    </row>
    <row r="67" spans="1:5" x14ac:dyDescent="0.45">
      <c r="A67" s="36" t="s">
        <v>39</v>
      </c>
      <c r="B67" s="37">
        <f>SUM(B62:B66)</f>
        <v>918526</v>
      </c>
      <c r="C67" s="37">
        <f>SUM(C62:C66)</f>
        <v>921896</v>
      </c>
      <c r="D67" s="37">
        <f>SUM(D62:D66)</f>
        <v>60</v>
      </c>
      <c r="E67" s="37">
        <f>SUM(E62:E66)</f>
        <v>1840482</v>
      </c>
    </row>
    <row r="68" spans="1:5" x14ac:dyDescent="0.45">
      <c r="A68" s="34">
        <v>70</v>
      </c>
      <c r="B68" s="35">
        <v>152385</v>
      </c>
      <c r="C68" s="35">
        <v>154993</v>
      </c>
      <c r="D68" s="35">
        <v>0</v>
      </c>
      <c r="E68" s="35">
        <f>SUM(B68:D68)</f>
        <v>307378</v>
      </c>
    </row>
    <row r="69" spans="1:5" x14ac:dyDescent="0.45">
      <c r="A69" s="34">
        <v>71</v>
      </c>
      <c r="B69" s="35">
        <v>144641</v>
      </c>
      <c r="C69" s="35">
        <v>146767</v>
      </c>
      <c r="D69" s="35">
        <v>38</v>
      </c>
      <c r="E69" s="35">
        <f t="shared" ref="E69:E72" si="12">SUM(B69:D69)</f>
        <v>291446</v>
      </c>
    </row>
    <row r="70" spans="1:5" x14ac:dyDescent="0.45">
      <c r="A70" s="34">
        <v>72</v>
      </c>
      <c r="B70" s="35">
        <v>135890</v>
      </c>
      <c r="C70" s="35">
        <v>139662</v>
      </c>
      <c r="D70" s="35">
        <v>0</v>
      </c>
      <c r="E70" s="35">
        <f t="shared" si="12"/>
        <v>275552</v>
      </c>
    </row>
    <row r="71" spans="1:5" x14ac:dyDescent="0.45">
      <c r="A71" s="34">
        <v>73</v>
      </c>
      <c r="B71" s="35">
        <v>127491</v>
      </c>
      <c r="C71" s="35">
        <v>131236</v>
      </c>
      <c r="D71" s="35">
        <v>0</v>
      </c>
      <c r="E71" s="35">
        <f t="shared" si="12"/>
        <v>258727</v>
      </c>
    </row>
    <row r="72" spans="1:5" x14ac:dyDescent="0.45">
      <c r="A72" s="34">
        <v>74</v>
      </c>
      <c r="B72" s="35">
        <v>127834</v>
      </c>
      <c r="C72" s="35">
        <v>130906</v>
      </c>
      <c r="D72" s="35">
        <v>9</v>
      </c>
      <c r="E72" s="35">
        <f t="shared" si="12"/>
        <v>258749</v>
      </c>
    </row>
    <row r="73" spans="1:5" x14ac:dyDescent="0.45">
      <c r="A73" s="36" t="s">
        <v>40</v>
      </c>
      <c r="B73" s="37">
        <f>SUM(B68:B72)</f>
        <v>688241</v>
      </c>
      <c r="C73" s="37">
        <f>SUM(C68:C72)</f>
        <v>703564</v>
      </c>
      <c r="D73" s="37">
        <f>SUM(D68:D72)</f>
        <v>47</v>
      </c>
      <c r="E73" s="37">
        <f>SUM(E68:E72)</f>
        <v>1391852</v>
      </c>
    </row>
    <row r="74" spans="1:5" x14ac:dyDescent="0.45">
      <c r="A74" s="34">
        <v>75</v>
      </c>
      <c r="B74" s="35">
        <v>111828</v>
      </c>
      <c r="C74" s="35">
        <v>114056</v>
      </c>
      <c r="D74" s="35">
        <v>0</v>
      </c>
      <c r="E74" s="35">
        <f>SUM(B74:D74)</f>
        <v>225884</v>
      </c>
    </row>
    <row r="75" spans="1:5" x14ac:dyDescent="0.45">
      <c r="A75" s="34">
        <v>76</v>
      </c>
      <c r="B75" s="35">
        <v>90158</v>
      </c>
      <c r="C75" s="35">
        <v>89290</v>
      </c>
      <c r="D75" s="35">
        <v>0</v>
      </c>
      <c r="E75" s="35">
        <f t="shared" ref="E75:E78" si="13">SUM(B75:D75)</f>
        <v>179448</v>
      </c>
    </row>
    <row r="76" spans="1:5" x14ac:dyDescent="0.45">
      <c r="A76" s="34">
        <v>77</v>
      </c>
      <c r="B76" s="35">
        <v>82472</v>
      </c>
      <c r="C76" s="35">
        <v>84527</v>
      </c>
      <c r="D76" s="35">
        <v>0</v>
      </c>
      <c r="E76" s="35">
        <f t="shared" si="13"/>
        <v>166999</v>
      </c>
    </row>
    <row r="77" spans="1:5" x14ac:dyDescent="0.45">
      <c r="A77" s="34">
        <v>78</v>
      </c>
      <c r="B77" s="35">
        <v>78243</v>
      </c>
      <c r="C77" s="35">
        <v>80446</v>
      </c>
      <c r="D77" s="35">
        <v>20</v>
      </c>
      <c r="E77" s="35">
        <f t="shared" si="13"/>
        <v>158709</v>
      </c>
    </row>
    <row r="78" spans="1:5" x14ac:dyDescent="0.45">
      <c r="A78" s="34">
        <v>79</v>
      </c>
      <c r="B78" s="35">
        <v>72885</v>
      </c>
      <c r="C78" s="35">
        <v>74530</v>
      </c>
      <c r="D78" s="35">
        <v>0</v>
      </c>
      <c r="E78" s="35">
        <f t="shared" si="13"/>
        <v>147415</v>
      </c>
    </row>
    <row r="79" spans="1:5" x14ac:dyDescent="0.45">
      <c r="A79" s="36" t="s">
        <v>41</v>
      </c>
      <c r="B79" s="37">
        <f>SUM(B74:B78)</f>
        <v>435586</v>
      </c>
      <c r="C79" s="37">
        <f>SUM(C74:C78)</f>
        <v>442849</v>
      </c>
      <c r="D79" s="37">
        <f>SUM(D74:D78)</f>
        <v>20</v>
      </c>
      <c r="E79" s="37">
        <f>SUM(E74:E78)</f>
        <v>878455</v>
      </c>
    </row>
    <row r="80" spans="1:5" x14ac:dyDescent="0.45">
      <c r="A80" s="34">
        <v>80</v>
      </c>
      <c r="B80" s="35">
        <v>59809</v>
      </c>
      <c r="C80" s="35">
        <v>60861</v>
      </c>
      <c r="D80" s="35">
        <v>0</v>
      </c>
      <c r="E80" s="35">
        <f>SUM(B80:D80)</f>
        <v>120670</v>
      </c>
    </row>
    <row r="81" spans="1:5" x14ac:dyDescent="0.45">
      <c r="A81" s="34">
        <v>81</v>
      </c>
      <c r="B81" s="35">
        <v>53745</v>
      </c>
      <c r="C81" s="35">
        <v>54479</v>
      </c>
      <c r="D81" s="35">
        <v>0</v>
      </c>
      <c r="E81" s="35">
        <f t="shared" ref="E81:E84" si="14">SUM(B81:D81)</f>
        <v>108224</v>
      </c>
    </row>
    <row r="82" spans="1:5" x14ac:dyDescent="0.45">
      <c r="A82" s="34">
        <v>82</v>
      </c>
      <c r="B82" s="35">
        <v>47108</v>
      </c>
      <c r="C82" s="35">
        <v>49735</v>
      </c>
      <c r="D82" s="35">
        <v>0</v>
      </c>
      <c r="E82" s="35">
        <f t="shared" si="14"/>
        <v>96843</v>
      </c>
    </row>
    <row r="83" spans="1:5" x14ac:dyDescent="0.45">
      <c r="A83" s="34">
        <v>83</v>
      </c>
      <c r="B83" s="35">
        <v>42148</v>
      </c>
      <c r="C83" s="35">
        <v>43194</v>
      </c>
      <c r="D83" s="35">
        <v>0</v>
      </c>
      <c r="E83" s="35">
        <f t="shared" si="14"/>
        <v>85342</v>
      </c>
    </row>
    <row r="84" spans="1:5" x14ac:dyDescent="0.45">
      <c r="A84" s="34">
        <v>84</v>
      </c>
      <c r="B84" s="35">
        <v>37168</v>
      </c>
      <c r="C84" s="35">
        <v>37298</v>
      </c>
      <c r="D84" s="35">
        <v>0</v>
      </c>
      <c r="E84" s="35">
        <f t="shared" si="14"/>
        <v>74466</v>
      </c>
    </row>
    <row r="85" spans="1:5" x14ac:dyDescent="0.45">
      <c r="A85" s="36" t="s">
        <v>42</v>
      </c>
      <c r="B85" s="37">
        <f>SUM(B80:B84)</f>
        <v>239978</v>
      </c>
      <c r="C85" s="37">
        <f>SUM(C80:C84)</f>
        <v>245567</v>
      </c>
      <c r="D85" s="37">
        <f>SUM(D80:D84)</f>
        <v>0</v>
      </c>
      <c r="E85" s="37">
        <f>SUM(E80:E84)</f>
        <v>485545</v>
      </c>
    </row>
    <row r="86" spans="1:5" x14ac:dyDescent="0.45">
      <c r="A86" s="34">
        <v>85</v>
      </c>
      <c r="B86" s="35">
        <v>31798</v>
      </c>
      <c r="C86" s="35">
        <v>31276</v>
      </c>
      <c r="D86" s="35">
        <v>0</v>
      </c>
      <c r="E86" s="35">
        <f>SUM(B86:D86)</f>
        <v>63074</v>
      </c>
    </row>
    <row r="87" spans="1:5" x14ac:dyDescent="0.45">
      <c r="A87" s="34">
        <v>86</v>
      </c>
      <c r="B87" s="35">
        <v>27352</v>
      </c>
      <c r="C87" s="35">
        <v>27311</v>
      </c>
      <c r="D87" s="35">
        <v>0</v>
      </c>
      <c r="E87" s="35">
        <f t="shared" ref="E87:E90" si="15">SUM(B87:D87)</f>
        <v>54663</v>
      </c>
    </row>
    <row r="88" spans="1:5" x14ac:dyDescent="0.45">
      <c r="A88" s="34">
        <v>87</v>
      </c>
      <c r="B88" s="35">
        <v>23316</v>
      </c>
      <c r="C88" s="35">
        <v>23764</v>
      </c>
      <c r="D88" s="35">
        <v>0</v>
      </c>
      <c r="E88" s="35">
        <f t="shared" si="15"/>
        <v>47080</v>
      </c>
    </row>
    <row r="89" spans="1:5" x14ac:dyDescent="0.45">
      <c r="A89" s="34">
        <v>88</v>
      </c>
      <c r="B89" s="35">
        <v>18606</v>
      </c>
      <c r="C89" s="35">
        <v>18410</v>
      </c>
      <c r="D89" s="35">
        <v>0</v>
      </c>
      <c r="E89" s="35">
        <f t="shared" si="15"/>
        <v>37016</v>
      </c>
    </row>
    <row r="90" spans="1:5" x14ac:dyDescent="0.45">
      <c r="A90" s="34">
        <v>89</v>
      </c>
      <c r="B90" s="35">
        <v>16163</v>
      </c>
      <c r="C90" s="35">
        <v>15693</v>
      </c>
      <c r="D90" s="35">
        <v>0</v>
      </c>
      <c r="E90" s="35">
        <f t="shared" si="15"/>
        <v>31856</v>
      </c>
    </row>
    <row r="91" spans="1:5" x14ac:dyDescent="0.45">
      <c r="A91" s="36" t="s">
        <v>43</v>
      </c>
      <c r="B91" s="37">
        <f>SUM(B86:B90)</f>
        <v>117235</v>
      </c>
      <c r="C91" s="37">
        <f>SUM(C86:C90)</f>
        <v>116454</v>
      </c>
      <c r="D91" s="37">
        <f>SUM(D86:D90)</f>
        <v>0</v>
      </c>
      <c r="E91" s="37">
        <f>SUM(E86:E90)</f>
        <v>233689</v>
      </c>
    </row>
    <row r="92" spans="1:5" x14ac:dyDescent="0.45">
      <c r="A92" s="39" t="s">
        <v>51</v>
      </c>
      <c r="B92" s="35">
        <v>49156</v>
      </c>
      <c r="C92" s="35">
        <v>48342</v>
      </c>
      <c r="D92" s="35">
        <v>0</v>
      </c>
      <c r="E92" s="35">
        <f>SUM(B92:D92)</f>
        <v>97498</v>
      </c>
    </row>
    <row r="93" spans="1:5" x14ac:dyDescent="0.45">
      <c r="A93" s="39" t="s">
        <v>14</v>
      </c>
      <c r="B93" s="40">
        <f>SUM(B7,B13,B19,B25,B31,B37,B43,B49,B55,B61,B67,B73,B79,B85,B91,B92)</f>
        <v>13946651</v>
      </c>
      <c r="C93" s="40">
        <f>C7+C13+C19+C25+C31+C37+C43+C49+C55+C61+C67+C73+C79+C85+C91+C92</f>
        <v>13506603</v>
      </c>
      <c r="D93" s="40">
        <f>D7+D13+D19+D25+D31+D37+D43+D49+D55+D61+D67+D73+D79+D85+D91+D92</f>
        <v>8855</v>
      </c>
      <c r="E93" s="40">
        <f>SUM(E7,E13,E19,E25,E31,,E37,E43,E49,E55,E61,E67,E73,E79,E85,E91,E92)</f>
        <v>27462109</v>
      </c>
    </row>
  </sheetData>
  <mergeCells count="1">
    <mergeCell ref="G5:K5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AD6FD2-EFEE-491F-9183-73E53437B0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3A</vt:lpstr>
      <vt:lpstr>Table 3B</vt:lpstr>
      <vt:lpstr>Table 3C</vt:lpstr>
      <vt:lpstr>Table 3D</vt:lpstr>
      <vt:lpstr>Table 3E</vt:lpstr>
      <vt:lpstr>Table 3F</vt:lpstr>
      <vt:lpstr>Table 3G</vt:lpstr>
      <vt:lpstr>Table 3H</vt:lpstr>
      <vt:lpstr>Parameters</vt:lpstr>
      <vt:lpstr>Table 3B-DMV-Licensed Drivers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Skeeter, Jeric@CHP</dc:creator>
  <cp:lastModifiedBy>Skeeter, Jeric@CHP</cp:lastModifiedBy>
  <cp:lastPrinted>2022-11-08T00:24:45Z</cp:lastPrinted>
  <dcterms:created xsi:type="dcterms:W3CDTF">2021-07-08T17:37:34Z</dcterms:created>
  <dcterms:modified xsi:type="dcterms:W3CDTF">2026-09-24T17:44:30Z</dcterms:modified>
</cp:coreProperties>
</file>