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9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17457\Desktop\"/>
    </mc:Choice>
  </mc:AlternateContent>
  <xr:revisionPtr revIDLastSave="0" documentId="13_ncr:1_{41AC05B6-1C4C-45E6-B1BB-720A1283A0B5}" xr6:coauthVersionLast="47" xr6:coauthVersionMax="47" xr10:uidLastSave="{00000000-0000-0000-0000-000000000000}"/>
  <bookViews>
    <workbookView xWindow="-110" yWindow="-110" windowWidth="38620" windowHeight="21100" tabRatio="952" xr2:uid="{19427615-27AF-4B57-8630-9FF35B81084A}"/>
  </bookViews>
  <sheets>
    <sheet name=" Table 5A" sheetId="2" r:id="rId1"/>
    <sheet name="Table 5B" sheetId="3" r:id="rId2"/>
    <sheet name=" Table 5C" sheetId="4" r:id="rId3"/>
    <sheet name="Table 5D" sheetId="25" r:id="rId4"/>
    <sheet name="Table 5E" sheetId="6" r:id="rId5"/>
    <sheet name="Table 5F" sheetId="7" r:id="rId6"/>
    <sheet name="Table 5G" sheetId="8" r:id="rId7"/>
    <sheet name="Table 5H" sheetId="26" r:id="rId8"/>
    <sheet name="Table 5I" sheetId="29" r:id="rId9"/>
    <sheet name="Table 5J" sheetId="11" r:id="rId10"/>
    <sheet name="Table 5K" sheetId="12" r:id="rId11"/>
    <sheet name="Table 5L" sheetId="19" r:id="rId12"/>
    <sheet name="Table 5M" sheetId="20" r:id="rId13"/>
    <sheet name="Table 5N" sheetId="21" r:id="rId14"/>
    <sheet name="Table 5O" sheetId="22" r:id="rId15"/>
    <sheet name="Table 5P" sheetId="23" r:id="rId16"/>
    <sheet name="Table 5Q" sheetId="24" r:id="rId17"/>
    <sheet name="Parameters" sheetId="1" state="hidden" r:id="rId18"/>
  </sheets>
  <calcPr calcId="191029"/>
  <pivotCaches>
    <pivotCache cacheId="59" r:id="rId19"/>
    <pivotCache cacheId="60" r:id="rId20"/>
    <pivotCache cacheId="61" r:id="rId21"/>
    <pivotCache cacheId="62" r:id="rId22"/>
    <pivotCache cacheId="63" r:id="rId23"/>
    <pivotCache cacheId="64" r:id="rId24"/>
    <pivotCache cacheId="65" r:id="rId25"/>
    <pivotCache cacheId="66" r:id="rId26"/>
    <pivotCache cacheId="67" r:id="rId27"/>
    <pivotCache cacheId="68" r:id="rId28"/>
    <pivotCache cacheId="69" r:id="rId29"/>
    <pivotCache cacheId="70" r:id="rId30"/>
    <pivotCache cacheId="71" r:id="rId31"/>
    <pivotCache cacheId="72" r:id="rId32"/>
    <pivotCache cacheId="73" r:id="rId33"/>
    <pivotCache cacheId="74" r:id="rId34"/>
    <pivotCache cacheId="75" r:id="rId35"/>
    <pivotCache cacheId="76" r:id="rId36"/>
    <pivotCache cacheId="77" r:id="rId37"/>
    <pivotCache cacheId="78" r:id="rId38"/>
    <pivotCache cacheId="79" r:id="rId39"/>
    <pivotCache cacheId="80" r:id="rId4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26" l="1"/>
  <c r="B7" i="26"/>
  <c r="B6" i="26"/>
  <c r="B5" i="26"/>
  <c r="R6" i="8" l="1"/>
  <c r="D16" i="6" l="1"/>
  <c r="E16" i="6"/>
  <c r="F16" i="6"/>
  <c r="G16" i="6"/>
  <c r="H16" i="6"/>
  <c r="I16" i="6"/>
  <c r="J16" i="6"/>
  <c r="K16" i="6"/>
  <c r="C16" i="6"/>
  <c r="B16" i="6"/>
  <c r="B17" i="6"/>
  <c r="D17" i="6"/>
  <c r="E17" i="6"/>
  <c r="F17" i="6"/>
  <c r="G17" i="6"/>
  <c r="H17" i="6"/>
  <c r="I17" i="6"/>
  <c r="J17" i="6"/>
  <c r="K17" i="6"/>
  <c r="C17" i="6"/>
  <c r="A72" i="1" l="1"/>
  <c r="A1" i="29" s="1"/>
  <c r="P10" i="8"/>
  <c r="O6" i="29"/>
  <c r="E6" i="29"/>
  <c r="L8" i="29"/>
  <c r="E5" i="29"/>
  <c r="H6" i="29"/>
  <c r="E7" i="29"/>
  <c r="D6" i="29"/>
  <c r="D8" i="29"/>
  <c r="M8" i="29"/>
  <c r="B6" i="29"/>
  <c r="H7" i="29"/>
  <c r="F8" i="29"/>
  <c r="N7" i="29"/>
  <c r="N5" i="29"/>
  <c r="F6" i="29"/>
  <c r="J7" i="29"/>
  <c r="M5" i="29"/>
  <c r="H5" i="29"/>
  <c r="L7" i="29"/>
  <c r="M7" i="29"/>
  <c r="H8" i="29"/>
  <c r="C5" i="29"/>
  <c r="O5" i="29"/>
  <c r="L5" i="29"/>
  <c r="K8" i="29"/>
  <c r="J6" i="29"/>
  <c r="J5" i="29"/>
  <c r="F7" i="29"/>
  <c r="I7" i="29"/>
  <c r="G6" i="29"/>
  <c r="B8" i="29"/>
  <c r="K6" i="29"/>
  <c r="B5" i="29"/>
  <c r="J8" i="29"/>
  <c r="M6" i="29"/>
  <c r="O7" i="29"/>
  <c r="O8" i="29"/>
  <c r="I6" i="29"/>
  <c r="K5" i="29"/>
  <c r="K7" i="29"/>
  <c r="F5" i="29"/>
  <c r="C8" i="29"/>
  <c r="I8" i="29"/>
  <c r="L6" i="29"/>
  <c r="G5" i="29"/>
  <c r="G7" i="29"/>
  <c r="C7" i="29"/>
  <c r="D5" i="29"/>
  <c r="D7" i="29"/>
  <c r="C6" i="29"/>
  <c r="I5" i="29"/>
  <c r="E8" i="29"/>
  <c r="N8" i="29"/>
  <c r="N6" i="29"/>
  <c r="G8" i="29"/>
  <c r="B7" i="29"/>
  <c r="C9" i="29"/>
  <c r="F9" i="29"/>
  <c r="K9" i="29"/>
  <c r="E9" i="29"/>
  <c r="M9" i="29"/>
  <c r="D9" i="29"/>
  <c r="L9" i="29"/>
  <c r="N9" i="29"/>
  <c r="H9" i="29"/>
  <c r="J9" i="29"/>
  <c r="I9" i="29"/>
  <c r="O9" i="29"/>
  <c r="G9" i="29"/>
  <c r="B9" i="29"/>
  <c r="E9" i="26"/>
  <c r="N9" i="26"/>
  <c r="J9" i="26"/>
  <c r="D9" i="26"/>
  <c r="C9" i="26"/>
  <c r="M9" i="26"/>
  <c r="I9" i="26"/>
  <c r="G9" i="26"/>
  <c r="B9" i="26"/>
  <c r="F9" i="26"/>
  <c r="L9" i="26"/>
  <c r="K9" i="26"/>
  <c r="O9" i="26"/>
  <c r="H9" i="26"/>
  <c r="L8" i="26"/>
  <c r="G5" i="26"/>
  <c r="D5" i="26"/>
  <c r="G6" i="26"/>
  <c r="I5" i="26"/>
  <c r="D6" i="26"/>
  <c r="E6" i="26"/>
  <c r="C6" i="26"/>
  <c r="L5" i="26"/>
  <c r="O5" i="26"/>
  <c r="J6" i="26"/>
  <c r="C5" i="26"/>
  <c r="H5" i="26"/>
  <c r="C8" i="26"/>
  <c r="N8" i="26"/>
  <c r="G7" i="26"/>
  <c r="E5" i="26"/>
  <c r="H7" i="26"/>
  <c r="N6" i="26"/>
  <c r="F8" i="26"/>
  <c r="M5" i="26"/>
  <c r="L6" i="26"/>
  <c r="D7" i="26"/>
  <c r="K7" i="26"/>
  <c r="E7" i="26"/>
  <c r="M7" i="26"/>
  <c r="M6" i="26"/>
  <c r="D8" i="26"/>
  <c r="N7" i="26"/>
  <c r="J8" i="26"/>
  <c r="K6" i="26"/>
  <c r="M8" i="26"/>
  <c r="K8" i="26"/>
  <c r="I6" i="26"/>
  <c r="J5" i="26"/>
  <c r="I7" i="26"/>
  <c r="J7" i="26"/>
  <c r="O8" i="26"/>
  <c r="F6" i="26"/>
  <c r="G8" i="26"/>
  <c r="F5" i="26"/>
  <c r="O7" i="26"/>
  <c r="L7" i="26"/>
  <c r="F7" i="26"/>
  <c r="I8" i="26"/>
  <c r="E8" i="26"/>
  <c r="H8" i="26"/>
  <c r="K5" i="26"/>
  <c r="H6" i="26"/>
  <c r="N5" i="26"/>
  <c r="C7" i="26"/>
  <c r="O6" i="26"/>
  <c r="O10" i="29" l="1"/>
  <c r="M10" i="29"/>
  <c r="C10" i="29"/>
  <c r="N10" i="29"/>
  <c r="L10" i="29"/>
  <c r="I10" i="29"/>
  <c r="J10" i="29"/>
  <c r="G10" i="29"/>
  <c r="B10" i="29"/>
  <c r="F10" i="29"/>
  <c r="K10" i="29"/>
  <c r="D10" i="29"/>
  <c r="H10" i="29"/>
  <c r="E10" i="29"/>
  <c r="M10" i="26"/>
  <c r="O10" i="26"/>
  <c r="J10" i="26"/>
  <c r="L10" i="26"/>
  <c r="B10" i="26"/>
  <c r="C10" i="26"/>
  <c r="D10" i="26"/>
  <c r="I10" i="26"/>
  <c r="F10" i="26"/>
  <c r="G10" i="26"/>
  <c r="E10" i="26"/>
  <c r="H10" i="26"/>
  <c r="N10" i="26"/>
  <c r="K10" i="26"/>
  <c r="A52" i="1"/>
  <c r="A1" i="26" s="1"/>
  <c r="A135" i="1" l="1"/>
  <c r="A1" i="24" s="1"/>
  <c r="A132" i="1" l="1"/>
  <c r="A1" i="23" s="1"/>
  <c r="A129" i="1" l="1"/>
  <c r="A1" i="22" s="1"/>
  <c r="A126" i="1" l="1"/>
  <c r="A1" i="21" s="1"/>
  <c r="A123" i="1" l="1"/>
  <c r="A1" i="20" s="1"/>
  <c r="A109" i="1" l="1"/>
  <c r="A1" i="19" s="1"/>
  <c r="A95" i="1" l="1"/>
  <c r="A1" i="12" s="1"/>
  <c r="A92" i="1" l="1"/>
  <c r="A1" i="11" s="1"/>
  <c r="A28" i="1" l="1"/>
  <c r="A1" i="8" s="1"/>
  <c r="K10" i="8"/>
  <c r="B10" i="8"/>
  <c r="D10" i="8"/>
  <c r="O10" i="8"/>
  <c r="G10" i="8"/>
  <c r="E10" i="8"/>
  <c r="F10" i="8"/>
  <c r="C10" i="8"/>
  <c r="M10" i="8"/>
  <c r="Q10" i="8"/>
  <c r="J10" i="8"/>
  <c r="N10" i="8"/>
  <c r="I10" i="8"/>
  <c r="H10" i="8"/>
  <c r="I9" i="8"/>
  <c r="G9" i="8"/>
  <c r="M6" i="8"/>
  <c r="Q6" i="8"/>
  <c r="M8" i="8"/>
  <c r="B6" i="8"/>
  <c r="J9" i="8"/>
  <c r="F6" i="8"/>
  <c r="B7" i="8"/>
  <c r="J7" i="8"/>
  <c r="E8" i="8"/>
  <c r="C9" i="8"/>
  <c r="Q9" i="8"/>
  <c r="H9" i="8"/>
  <c r="E6" i="8"/>
  <c r="C8" i="8"/>
  <c r="E9" i="8"/>
  <c r="B9" i="8"/>
  <c r="H7" i="8"/>
  <c r="G6" i="8"/>
  <c r="J6" i="8"/>
  <c r="G8" i="8"/>
  <c r="O9" i="8"/>
  <c r="C7" i="8"/>
  <c r="O7" i="8"/>
  <c r="F8" i="8"/>
  <c r="O6" i="8"/>
  <c r="N7" i="8"/>
  <c r="K7" i="8"/>
  <c r="M7" i="8"/>
  <c r="G7" i="8"/>
  <c r="J8" i="8"/>
  <c r="F7" i="8"/>
  <c r="F9" i="8"/>
  <c r="B8" i="8"/>
  <c r="Q8" i="8"/>
  <c r="Q7" i="8"/>
  <c r="K8" i="8"/>
  <c r="N8" i="8"/>
  <c r="I6" i="8"/>
  <c r="I7" i="8"/>
  <c r="O8" i="8"/>
  <c r="C6" i="8"/>
  <c r="I8" i="8"/>
  <c r="H6" i="8"/>
  <c r="H8" i="8"/>
  <c r="N9" i="8"/>
  <c r="K9" i="8"/>
  <c r="E7" i="8"/>
  <c r="N6" i="8"/>
  <c r="K6" i="8"/>
  <c r="M9" i="8"/>
  <c r="R8" i="8" l="1"/>
  <c r="E11" i="8"/>
  <c r="I11" i="8"/>
  <c r="N11" i="8"/>
  <c r="R10" i="8"/>
  <c r="F11" i="8"/>
  <c r="J11" i="8"/>
  <c r="O11" i="8"/>
  <c r="P11" i="8"/>
  <c r="R7" i="8"/>
  <c r="R9" i="8"/>
  <c r="B11" i="8"/>
  <c r="G11" i="8"/>
  <c r="K11" i="8"/>
  <c r="Q11" i="8"/>
  <c r="D11" i="8"/>
  <c r="C11" i="8"/>
  <c r="H11" i="8"/>
  <c r="M11" i="8"/>
  <c r="R11" i="8" l="1"/>
  <c r="A25" i="1" l="1"/>
  <c r="A2" i="7" s="1"/>
  <c r="A24" i="1"/>
  <c r="A1" i="7" s="1"/>
  <c r="A21" i="1" l="1"/>
  <c r="A1" i="6" s="1"/>
  <c r="A18" i="1" l="1"/>
  <c r="A1" i="25" s="1"/>
  <c r="A15" i="1" l="1"/>
  <c r="A1" i="4" s="1"/>
  <c r="A12" i="1" l="1"/>
  <c r="A1" i="3" l="1"/>
  <c r="A9" i="1" l="1"/>
  <c r="A1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1AF6A2-BCF6-44AE-8373-660D331034C0}" keepAlive="1" name="Query - Crash_year" description="Connection to the 'Crash_year' query in the workbook." type="5" refreshedVersion="0" background="1">
    <dbPr connection="Provider=Microsoft.Mashup.OleDb.1;Data Source=$Workbook$;Location=Crash_year;Extended Properties=&quot;&quot;" command="SELECT * FROM [Crash_year]"/>
  </connection>
  <connection id="2" xr16:uid="{83A90AA2-B6AB-4BA7-B002-69A647420E7B}" keepAlive="1" name="Query - DW Age_Group" description="Connection to the 'DW Age_Group' query in the workbook." type="5" refreshedVersion="0" background="1">
    <dbPr connection="Provider=Microsoft.Mashup.OleDb.1;Data Source=$Workbook$;Location=&quot;DW Age_Group&quot;;Extended Properties=&quot;&quot;" command="SELECT * FROM [DW Age_Group]"/>
  </connection>
  <connection id="3" xr16:uid="{ABD0BF40-6E68-4471-A79A-A013B22D6834}" keepAlive="1" name="Query - DW Collision_Type" description="Connection to the 'DW Collision_Type' query in the workbook." type="5" refreshedVersion="0" background="1">
    <dbPr connection="Provider=Microsoft.Mashup.OleDb.1;Data Source=$Workbook$;Location=&quot;DW Collision_Type&quot;;Extended Properties=&quot;&quot;" command="SELECT * FROM [DW Collision_Type]"/>
  </connection>
  <connection id="4" xr16:uid="{F191D2DB-153F-48AF-BE4C-53DCCA699C7D}" keepAlive="1" name="Query - DW Location" description="Connection to the 'DW Location' query in the workbook." type="5" refreshedVersion="0" background="1">
    <dbPr connection="Provider=Microsoft.Mashup.OleDb.1;Data Source=$Workbook$;Location=&quot;DW Location&quot;;Extended Properties=&quot;&quot;" command="SELECT * FROM [DW Location]"/>
  </connection>
  <connection id="5" xr16:uid="{910969BB-11F7-4A9D-BBF2-CA1D2A78D538}" keepAlive="1" name="Query - DW Movement_Pre_Collision" description="Connection to the 'DW Movement_Pre_Collision' query in the workbook." type="5" refreshedVersion="0" background="1">
    <dbPr connection="Provider=Microsoft.Mashup.OleDb.1;Data Source=$Workbook$;Location=&quot;DW Movement_Pre_Collision&quot;;Extended Properties=&quot;&quot;" command="SELECT * FROM [DW Movement_Pre_Collision]"/>
  </connection>
  <connection id="6" xr16:uid="{E8983CB0-F317-4EDA-9B9C-EB175A830AEA}" keepAlive="1" name="Query - DW Party_Type" description="Connection to the 'DW Party_Type' query in the workbook." type="5" refreshedVersion="0" background="1">
    <dbPr connection="Provider=Microsoft.Mashup.OleDb.1;Data Source=$Workbook$;Location=&quot;DW Party_Type&quot;;Extended Properties=&quot;&quot;" command="SELECT * FROM [DW Party_Type]"/>
  </connection>
  <connection id="7" xr16:uid="{2071645D-5C4B-45E3-B3EC-E5734AFAEF9E}" keepAlive="1" name="Query - DW Severity" description="Connection to the 'DW Severity' query in the workbook." type="5" refreshedVersion="0" background="1">
    <dbPr connection="Provider=Microsoft.Mashup.OleDb.1;Data Source=$Workbook$;Location=&quot;DW Severity&quot;;Extended Properties=&quot;&quot;" command="SELECT * FROM [DW Severity]"/>
  </connection>
  <connection id="8" xr16:uid="{4F82D12E-9304-49A3-B07E-7A74795BEF65}" keepAlive="1" name="Query - DW Sex" description="Connection to the 'DW Sex' query in the workbook." type="5" refreshedVersion="0" background="1">
    <dbPr connection="Provider=Microsoft.Mashup.OleDb.1;Data Source=$Workbook$;Location=&quot;DW Sex&quot;;Extended Properties=&quot;&quot;" command="SELECT * FROM [DW Sex]"/>
  </connection>
  <connection id="9" xr16:uid="{BCC180FE-607A-4FB0-B346-902A3B4C74C6}" keepAlive="1" name="Query - DW Sobriety" description="Connection to the 'DW Sobriety' query in the workbook." type="5" refreshedVersion="0" background="1">
    <dbPr connection="Provider=Microsoft.Mashup.OleDb.1;Data Source=$Workbook$;Location=&quot;DW Sobriety&quot;;Extended Properties=&quot;&quot;" command="SELECT * FROM [DW Sobriety]"/>
  </connection>
  <connection id="10" xr16:uid="{D2C7319E-6F3D-45D4-9DE4-9B610C0930CA}" keepAlive="1" name="Query - DW Time_of_Day" description="Connection to the 'DW Time_of_Day' query in the workbook." type="5" refreshedVersion="0" background="1">
    <dbPr connection="Provider=Microsoft.Mashup.OleDb.1;Data Source=$Workbook$;Location=&quot;DW Time_of_Day&quot;;Extended Properties=&quot;&quot;" command="SELECT * FROM [DW Time_of_Day]"/>
  </connection>
  <connection id="11" xr16:uid="{5B41F2D6-C3FF-46C5-A19B-5352359C2355}" keepAlive="1" name="Query - End_year" description="Connection to the 'End_year' query in the workbook." type="5" refreshedVersion="0" background="1">
    <dbPr connection="Provider=Microsoft.Mashup.OleDb.1;Data Source=$Workbook$;Location=End_year;Extended Properties=&quot;&quot;" command="SELECT * FROM [End_year]"/>
  </connection>
  <connection id="12" xr16:uid="{AC91E771-633D-4142-A840-C77334D43BBF}" keepAlive="1" name="Query - Start_year" description="Connection to the 'Start_year' query in the workbook." type="5" refreshedVersion="0" background="1">
    <dbPr connection="Provider=Microsoft.Mashup.OleDb.1;Data Source=$Workbook$;Location=Start_year;Extended Properties=&quot;&quot;" command="SELECT * FROM [Start_year]"/>
  </connection>
  <connection id="13" xr16:uid="{05D5A5C9-B306-4D1C-9B05-814350FBEEF2}" keepAlive="1" name="Query - Table 5A" description="Connection to the 'Table 5A' query in the workbook." type="5" refreshedVersion="8" background="1">
    <dbPr connection="Provider=Microsoft.Mashup.OleDb.1;Data Source=$Workbook$;Location=&quot;Table 5A&quot;;Extended Properties=&quot;&quot;" command="SELECT * FROM [Table 5A]"/>
  </connection>
  <connection id="14" xr16:uid="{08D269DA-CC68-445D-92C3-B10208263950}" keepAlive="1" name="Query - Table 5B" description="Connection to the 'Table 5B' query in the workbook." type="5" refreshedVersion="8" background="1">
    <dbPr connection="Provider=Microsoft.Mashup.OleDb.1;Data Source=$Workbook$;Location=&quot;Table 5B&quot;;Extended Properties=&quot;&quot;" command="SELECT * FROM [Table 5B]"/>
  </connection>
  <connection id="15" xr16:uid="{05D5A5C9-B306-4D1C-9B05-814350FBEEF2}" keepAlive="1" name="Query - Table 5C" description="Connection to the 'Table 5C' query in the workbook." type="5" refreshedVersion="8" background="1">
    <dbPr connection="Provider=Microsoft.Mashup.OleDb.1;Data Source=$Workbook$;Location=&quot;Table 5C&quot;;Extended Properties=&quot;&quot;" command="SELECT * FROM [Table 5C]"/>
  </connection>
  <connection id="16" xr16:uid="{08D269DA-CC68-445D-92C3-B10208263950}" keepAlive="1" name="Query - Table 5D" description="Connection to the 'Table 5D' query in the workbook." type="5" refreshedVersion="8" background="1">
    <dbPr connection="Provider=Microsoft.Mashup.OleDb.1;Data Source=$Workbook$;Location=&quot;Table 5D&quot;;Extended Properties=&quot;&quot;" command="SELECT * FROM [Table 5D]"/>
  </connection>
  <connection id="17" xr16:uid="{82D42052-4834-4CFC-B748-FC5F34F98904}" keepAlive="1" name="Query - Table 5E" description="Connection to the 'Table 5E' query in the workbook." type="5" refreshedVersion="8" background="1" saveData="1">
    <dbPr connection="Provider=Microsoft.Mashup.OleDb.1;Data Source=$Workbook$;Location=&quot;Table 5E&quot;;Extended Properties=&quot;&quot;" command="SELECT * FROM [Table 5E]"/>
  </connection>
  <connection id="18" xr16:uid="{9A227FDA-D867-45C1-9F1E-80BCDC1120B3}" keepAlive="1" name="Query - Table 5F" description="Connection to the 'Table 5F' query in the workbook." type="5" refreshedVersion="8" background="1">
    <dbPr connection="Provider=Microsoft.Mashup.OleDb.1;Data Source=$Workbook$;Location=&quot;Table 5F&quot;;Extended Properties=&quot;&quot;" command="SELECT * FROM [Table 5F]"/>
  </connection>
  <connection id="19" xr16:uid="{4B86F89D-D4A1-4632-8B0B-FB07921B6C49}" keepAlive="1" name="Query - Table 5G - HBD" description="Connection to the 'Table 5G - HBD' query in the workbook." type="5" refreshedVersion="8" background="1">
    <dbPr connection="Provider=Microsoft.Mashup.OleDb.1;Data Source=$Workbook$;Location=&quot;Table 5G - HBD&quot;;Extended Properties=&quot;&quot;" command="SELECT * FROM [Table 5G - HBD]"/>
  </connection>
  <connection id="20" xr16:uid="{C02EAFE3-78CC-425B-9DEC-42FDE046650E}" keepAlive="1" name="Query - Table 5G - Total Parties" description="Connection to the 'Table 5G - Total Parties' query in the workbook." type="5" refreshedVersion="8" background="1">
    <dbPr connection="Provider=Microsoft.Mashup.OleDb.1;Data Source=$Workbook$;Location=&quot;Table 5G - Total Parties&quot;;Extended Properties=&quot;&quot;" command="SELECT * FROM [Table 5G - Total Parties]"/>
  </connection>
  <connection id="21" xr16:uid="{4B86F89D-D4A1-4632-8B0B-FB07921B6C49}" keepAlive="1" name="Query - Table 5H - HBD" description="Connection to the 'Table 5H - HBD' query in the workbook." type="5" refreshedVersion="8" background="1">
    <dbPr connection="Provider=Microsoft.Mashup.OleDb.1;Data Source=$Workbook$;Location=&quot;Table 5H - HBD&quot;;Extended Properties=&quot;&quot;" command="SELECT * FROM [Table 5H - HBD]"/>
  </connection>
  <connection id="22" xr16:uid="{0E307BE4-7D7A-496D-A5E8-CABDE6BA79D6}" keepAlive="1" name="Query - Table 5H - Total Parties" description="Connection to the 'Table 5H - Total Parties' query in the workbook." type="5" refreshedVersion="8" background="1">
    <dbPr connection="Provider=Microsoft.Mashup.OleDb.1;Data Source=$Workbook$;Location=&quot;Table 5H - Total Parties&quot;;Extended Properties=&quot;&quot;" command="SELECT * FROM [Table 5H - Total Parties]"/>
  </connection>
  <connection id="23" xr16:uid="{4B86F89D-D4A1-4632-8B0B-FB07921B6C49}" keepAlive="1" name="Query - Table 5I - HBD" description="Connection to the 'Table 5I - HBD' query in the workbook." type="5" refreshedVersion="8" background="1">
    <dbPr connection="Provider=Microsoft.Mashup.OleDb.1;Data Source=$Workbook$;Location=&quot;Table 5I - HBD&quot;;Extended Properties=&quot;&quot;" command="SELECT * FROM [Table 5I - HBD]"/>
  </connection>
  <connection id="24" xr16:uid="{0E307BE4-7D7A-496D-A5E8-CABDE6BA79D6}" keepAlive="1" name="Query - Table 5I - Total Parties" description="Connection to the 'Table 5I - Total Parties' query in the workbook." type="5" refreshedVersion="8" background="1">
    <dbPr connection="Provider=Microsoft.Mashup.OleDb.1;Data Source=$Workbook$;Location=&quot;Table 5I - Total Parties&quot;;Extended Properties=&quot;&quot;" command="SELECT * FROM [Table 5I - Total Parties]"/>
  </connection>
  <connection id="25" xr16:uid="{D6F3929F-2A0B-4EA0-9C14-7BE14AF2E42C}" keepAlive="1" name="Query - Table 5J" description="Connection to the 'Table 5J' query in the workbook." type="5" refreshedVersion="8" background="1">
    <dbPr connection="Provider=Microsoft.Mashup.OleDb.1;Data Source=$Workbook$;Location=&quot;Table 5J&quot;;Extended Properties=&quot;&quot;" command="SELECT * FROM [Table 5J]"/>
  </connection>
  <connection id="26" xr16:uid="{08D269DA-CC68-445D-92C3-B10208263950}" keepAlive="1" name="Query - Table 5K" description="Connection to the 'Table 5K' query in the workbook." type="5" refreshedVersion="8" background="1">
    <dbPr connection="Provider=Microsoft.Mashup.OleDb.1;Data Source=$Workbook$;Location=&quot;Table 5K&quot;;Extended Properties=&quot;&quot;" command="SELECT * FROM [Table 5K]"/>
  </connection>
  <connection id="27" xr16:uid="{50A9157F-C55E-44B4-836C-78C6C96E080D}" keepAlive="1" name="Query - Table 5K Chart" description="Connection to the 'Table 5K Chart' query in the workbook." type="5" refreshedVersion="8" background="1">
    <dbPr connection="Provider=Microsoft.Mashup.OleDb.1;Data Source=$Workbook$;Location=&quot;Table 5K Chart&quot;;Extended Properties=&quot;&quot;" command="SELECT * FROM [Table 5K Chart]"/>
  </connection>
  <connection id="28" xr16:uid="{08D269DA-CC68-445D-92C3-B10208263950}" keepAlive="1" name="Query - Table 5L" description="Connection to the 'Table 5L' query in the workbook." type="5" refreshedVersion="8" background="1">
    <dbPr connection="Provider=Microsoft.Mashup.OleDb.1;Data Source=$Workbook$;Location=&quot;Table 5L&quot;;Extended Properties=&quot;&quot;" command="SELECT * FROM [Table 5L]"/>
  </connection>
  <connection id="29" xr16:uid="{976E06ED-CAC5-4F93-9806-1AD20FCB31BF}" keepAlive="1" name="Query - Table 5L Chart" description="Connection to the 'Table 5L Chart' query in the workbook." type="5" refreshedVersion="8" background="1">
    <dbPr connection="Provider=Microsoft.Mashup.OleDb.1;Data Source=$Workbook$;Location=&quot;Table 5L Chart&quot;;Extended Properties=&quot;&quot;" command="SELECT * FROM [Table 5L Chart]"/>
  </connection>
  <connection id="30" xr16:uid="{08D269DA-CC68-445D-92C3-B10208263950}" keepAlive="1" name="Query - Table 5M" description="Connection to the 'Table 5M' query in the workbook." type="5" refreshedVersion="8" background="1">
    <dbPr connection="Provider=Microsoft.Mashup.OleDb.1;Data Source=$Workbook$;Location=&quot;Table 5M&quot;;Extended Properties=&quot;&quot;" command="SELECT * FROM [Table 5M]"/>
  </connection>
  <connection id="31" xr16:uid="{AE80B0B9-6926-4DE8-BA42-1B36E218F74C}" keepAlive="1" name="Query - Table 5N" description="Connection to the 'Table 5N' query in the workbook." type="5" refreshedVersion="8" background="1">
    <dbPr connection="Provider=Microsoft.Mashup.OleDb.1;Data Source=$Workbook$;Location=&quot;Table 5N&quot;;Extended Properties=&quot;&quot;" command="SELECT * FROM [Table 5N]"/>
  </connection>
  <connection id="32" xr16:uid="{08D269DA-CC68-445D-92C3-B10208263950}" keepAlive="1" name="Query - Table 5O" description="Connection to the 'Table 5O' query in the workbook." type="5" refreshedVersion="8" background="1">
    <dbPr connection="Provider=Microsoft.Mashup.OleDb.1;Data Source=$Workbook$;Location=&quot;Table 5O&quot;;Extended Properties=&quot;&quot;" command="SELECT * FROM [Table 5O]"/>
  </connection>
  <connection id="33" xr16:uid="{0F6F878F-1599-4F30-88F4-DA48E6E83ACC}" keepAlive="1" name="Query - Table 5P" description="Connection to the 'Table 5P' query in the workbook." type="5" refreshedVersion="8" background="1">
    <dbPr connection="Provider=Microsoft.Mashup.OleDb.1;Data Source=$Workbook$;Location=&quot;Table 5P&quot;;Extended Properties=&quot;&quot;" command="SELECT * FROM [Table 5P]"/>
  </connection>
  <connection id="34" xr16:uid="{9B474069-322A-4DDF-8876-05F637B32D52}" keepAlive="1" name="Query - Table 5Q" description="Connection to the 'Table 5Q' query in the workbook." type="5" refreshedVersion="8" background="1">
    <dbPr connection="Provider=Microsoft.Mashup.OleDb.1;Data Source=$Workbook$;Location=&quot;Table 5Q&quot;;Extended Properties=&quot;&quot;" command="SELECT * FROM [Table 5Q]"/>
  </connection>
</connections>
</file>

<file path=xl/sharedStrings.xml><?xml version="1.0" encoding="utf-8"?>
<sst xmlns="http://schemas.openxmlformats.org/spreadsheetml/2006/main" count="1034" uniqueCount="297">
  <si>
    <t>Start_year</t>
  </si>
  <si>
    <t>End_year</t>
  </si>
  <si>
    <t>Fatal</t>
  </si>
  <si>
    <t>Injury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</si>
  <si>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</si>
  <si>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</si>
  <si>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</si>
  <si>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</si>
  <si>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</si>
  <si>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</si>
  <si>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</si>
  <si>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</si>
  <si>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</si>
  <si>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</si>
  <si>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</si>
  <si>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</si>
  <si>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</t>
  </si>
  <si>
    <t>TOTAL</t>
  </si>
  <si>
    <t xml:space="preserve">Killed </t>
  </si>
  <si>
    <t xml:space="preserve">Injured </t>
  </si>
  <si>
    <t xml:space="preserve">  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</si>
  <si>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</si>
  <si>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</si>
  <si>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</si>
  <si>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</si>
  <si>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</si>
  <si>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</si>
  <si>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</si>
  <si>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</si>
  <si>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</si>
  <si>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</si>
  <si>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</si>
  <si>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</si>
  <si>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</si>
  <si>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</si>
  <si>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</si>
  <si>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</si>
  <si>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</si>
  <si>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</si>
  <si>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</si>
  <si>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</si>
  <si>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</si>
  <si>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</si>
  <si>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</si>
  <si>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</si>
  <si>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</si>
  <si>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</si>
  <si>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</si>
  <si>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</si>
  <si>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</si>
  <si>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</si>
  <si>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</si>
  <si>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</si>
  <si>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</si>
  <si>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</si>
  <si>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</si>
  <si>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</si>
  <si>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</si>
  <si>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</si>
  <si>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</si>
  <si>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</si>
  <si>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</si>
  <si>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</si>
  <si>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</si>
  <si>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</si>
  <si>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</si>
  <si>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</si>
  <si>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</si>
  <si>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</si>
  <si>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</si>
  <si>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</si>
  <si>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</si>
  <si>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</si>
  <si>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</si>
  <si>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</si>
  <si>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</si>
  <si>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</si>
  <si>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</si>
  <si>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</si>
  <si>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Killed</t>
  </si>
  <si>
    <t>Injured</t>
  </si>
  <si>
    <t>HBD Pedestrian</t>
  </si>
  <si>
    <t>HBD Bicyclist</t>
  </si>
  <si>
    <t>Passenger in HBD Driver's Vehicle</t>
  </si>
  <si>
    <t>HNBD Pedestrian</t>
  </si>
  <si>
    <t>HNBD Bicyclist</t>
  </si>
  <si>
    <t>Passenger in HNBD Driver's Vehicle</t>
  </si>
  <si>
    <t>Percent passengers
and HNBD parties
were killed/injured</t>
  </si>
  <si>
    <t>Head-On</t>
  </si>
  <si>
    <t>Sideswipe</t>
  </si>
  <si>
    <t>Rear End</t>
  </si>
  <si>
    <t>Broadside</t>
  </si>
  <si>
    <t>Hit Object</t>
  </si>
  <si>
    <t>Overturned</t>
  </si>
  <si>
    <t>Auto/ Pedestrian</t>
  </si>
  <si>
    <t>Other</t>
  </si>
  <si>
    <t>Stopped</t>
  </si>
  <si>
    <t>Proceeding straight</t>
  </si>
  <si>
    <t>Ran off road</t>
  </si>
  <si>
    <t>Making right turn</t>
  </si>
  <si>
    <t>Making left turn</t>
  </si>
  <si>
    <t>Making U turn</t>
  </si>
  <si>
    <t>Backing</t>
  </si>
  <si>
    <t>Slowing/stopping</t>
  </si>
  <si>
    <t>Passing other vehicle</t>
  </si>
  <si>
    <t>Changing lanes</t>
  </si>
  <si>
    <t>Parking maneuver</t>
  </si>
  <si>
    <t>Entering traffic</t>
  </si>
  <si>
    <t>Other unsafe turning</t>
  </si>
  <si>
    <t>Crossed into opposing lane</t>
  </si>
  <si>
    <t>Parked</t>
  </si>
  <si>
    <t>Merging</t>
  </si>
  <si>
    <t>Traveling wrong way</t>
  </si>
  <si>
    <t>Not stated</t>
  </si>
  <si>
    <t>Crash_year</t>
  </si>
  <si>
    <t>MOTOR VEHICLE DRIVER</t>
  </si>
  <si>
    <t>PEDESTRIAN AND BICYCLIST</t>
  </si>
  <si>
    <t>DEGREE OF ALCOHOL IMPAIRMENT</t>
  </si>
  <si>
    <t>Male</t>
  </si>
  <si>
    <t>Female</t>
  </si>
  <si>
    <t>Nonbinary</t>
  </si>
  <si>
    <t>Not Stated</t>
  </si>
  <si>
    <t>HBD - not under influence</t>
  </si>
  <si>
    <t>HBD - impairment unknown</t>
  </si>
  <si>
    <t>Total parties in fatal and injury crashes</t>
  </si>
  <si>
    <t>Percent had been drinking</t>
  </si>
  <si>
    <t>HAD BEEN DRINKING</t>
  </si>
  <si>
    <t>HBD, NOT UNDER INFLUENCE</t>
  </si>
  <si>
    <t>HBD, IMPAIRMENT UNKNOWN</t>
  </si>
  <si>
    <t xml:space="preserve">    </t>
  </si>
  <si>
    <t>AGE</t>
  </si>
  <si>
    <t>0-14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</si>
  <si>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</si>
  <si>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</si>
  <si>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</si>
  <si>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</si>
  <si>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</si>
  <si>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</si>
  <si>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</si>
  <si>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</si>
  <si>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</si>
  <si>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</si>
  <si>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</si>
  <si>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</si>
  <si>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</si>
  <si>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</si>
  <si>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</si>
  <si>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</si>
  <si>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</si>
  <si>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</si>
  <si>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</si>
  <si>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</si>
  <si>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</si>
  <si>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</si>
  <si>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</si>
  <si>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</si>
  <si>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</si>
  <si>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</si>
  <si>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</si>
  <si>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</si>
  <si>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</si>
  <si>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</si>
  <si>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</si>
  <si>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</si>
  <si>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</si>
  <si>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</si>
  <si>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</si>
  <si>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</si>
  <si>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</si>
  <si>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</si>
  <si>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</si>
  <si>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</si>
  <si>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</si>
  <si>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</si>
  <si>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</si>
  <si>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</si>
  <si>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</si>
  <si>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60-64</t>
  </si>
  <si>
    <t>65-69</t>
  </si>
  <si>
    <t>70-74</t>
  </si>
  <si>
    <t>75-79</t>
  </si>
  <si>
    <t>80-84</t>
  </si>
  <si>
    <t>85-89</t>
  </si>
  <si>
    <t>90 and over</t>
  </si>
  <si>
    <t>DAY OF WEEK</t>
  </si>
  <si>
    <t>Monday</t>
  </si>
  <si>
    <t>Tuesday</t>
  </si>
  <si>
    <t>Wednesday</t>
  </si>
  <si>
    <t>Thursday</t>
  </si>
  <si>
    <t>Friday</t>
  </si>
  <si>
    <t>Saturday</t>
  </si>
  <si>
    <t>Sunday</t>
  </si>
  <si>
    <t>Midnight - 12:59 A.M.</t>
  </si>
  <si>
    <t>1:00 - 1:59 A.M.</t>
  </si>
  <si>
    <t>2:00 - 2:59 A.M.</t>
  </si>
  <si>
    <t>3:00 - 3:59 A.M.</t>
  </si>
  <si>
    <t>4:00 - 4:59 A.M.</t>
  </si>
  <si>
    <t>5:00 - 5:59 A.M.</t>
  </si>
  <si>
    <t>6:00 - 6:59 A.M.</t>
  </si>
  <si>
    <t>7:00 - 7:59 A.M.</t>
  </si>
  <si>
    <t>8:00 - 8:59 A.M.</t>
  </si>
  <si>
    <t>9:00 - 9:59 A.M.</t>
  </si>
  <si>
    <t>10:00 - 10:59 A.M.</t>
  </si>
  <si>
    <t>11:00 - 11:59 A.M.</t>
  </si>
  <si>
    <t>Noon - 12:59 P.M.</t>
  </si>
  <si>
    <t>1:00 - 1:59 P.M.</t>
  </si>
  <si>
    <t>2:00 - 2:59 P.M.</t>
  </si>
  <si>
    <t>3:00 - 3:59 P.M.</t>
  </si>
  <si>
    <t>4:00 - 4:59 P.M.</t>
  </si>
  <si>
    <t>5:00 - 5:59 P.M.</t>
  </si>
  <si>
    <t>6:00 - 6:59 P.M.</t>
  </si>
  <si>
    <t>7:00 - 7:59 P.M.</t>
  </si>
  <si>
    <t>8:00 - 8:59 P.M.</t>
  </si>
  <si>
    <t>9:00 - 9:59 P.M.</t>
  </si>
  <si>
    <t>10:00 - 10:59 P.M.</t>
  </si>
  <si>
    <t>11:00 - 11:59 P.M.</t>
  </si>
  <si>
    <t>Sum of Count</t>
  </si>
  <si>
    <t>Grand Total</t>
  </si>
  <si>
    <t>Driver</t>
  </si>
  <si>
    <t>Passenger</t>
  </si>
  <si>
    <t>Pedestrian</t>
  </si>
  <si>
    <t>Bicyclist</t>
  </si>
  <si>
    <t>0-4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</si>
  <si>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</si>
  <si>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</si>
  <si>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</si>
  <si>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</si>
  <si>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</si>
  <si>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</si>
  <si>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</si>
  <si>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</si>
  <si>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</si>
  <si>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</si>
  <si>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60 and over</t>
  </si>
  <si>
    <t>15-20</t>
  </si>
  <si>
    <t>21-24</t>
  </si>
  <si>
    <t>25-29</t>
  </si>
  <si>
    <t>30-34</t>
  </si>
  <si>
    <t>35-39</t>
  </si>
  <si>
    <t>40-44</t>
  </si>
  <si>
    <t>45-49</t>
  </si>
  <si>
    <t>50-54</t>
  </si>
  <si>
    <t>55-59</t>
  </si>
  <si>
    <t>65 and over</t>
  </si>
  <si>
    <t>Total drivers in fatal crashes</t>
  </si>
  <si>
    <t>Cells auto load to Table 5H</t>
  </si>
  <si>
    <t>Total drivers in injury crashes</t>
  </si>
  <si>
    <t>Cells auto load to Table 5I</t>
  </si>
  <si>
    <t>Table 5G-HBD</t>
  </si>
  <si>
    <t>Table 5G - Total Parties</t>
  </si>
  <si>
    <t>Table 5H- HBD</t>
  </si>
  <si>
    <t>Table 5H - Total Parties</t>
  </si>
  <si>
    <t>Table 5I - HBD</t>
  </si>
  <si>
    <t>Male, Female, some Not Stated and some Nonbinary cells auto load to Table 5G.  Nonbinary varies each year therefore verify.</t>
  </si>
  <si>
    <t>Title 5A</t>
  </si>
  <si>
    <t>Title 5B</t>
  </si>
  <si>
    <t>Title 5C</t>
  </si>
  <si>
    <t>Title 5D</t>
  </si>
  <si>
    <t>Title 5E</t>
  </si>
  <si>
    <t>Title 5F</t>
  </si>
  <si>
    <t>Title 5G</t>
  </si>
  <si>
    <t>Title 5H</t>
  </si>
  <si>
    <t>Title 5I</t>
  </si>
  <si>
    <t>Title 5J</t>
  </si>
  <si>
    <t>Title 5K</t>
  </si>
  <si>
    <t>Title 5L</t>
  </si>
  <si>
    <t>Title 5M</t>
  </si>
  <si>
    <t>Title 5N</t>
  </si>
  <si>
    <t>Title 5O</t>
  </si>
  <si>
    <t>Title 5P</t>
  </si>
  <si>
    <t>Title  5Q</t>
  </si>
  <si>
    <t>Table 5I - Total Parties</t>
  </si>
  <si>
    <t>Table 5K Chart</t>
  </si>
  <si>
    <t>Table 5L Chart</t>
  </si>
  <si>
    <t>Day of Week</t>
  </si>
  <si>
    <t>Month</t>
  </si>
  <si>
    <t>Total</t>
  </si>
  <si>
    <t>County</t>
  </si>
  <si>
    <t>Movement Preceding Crash</t>
  </si>
  <si>
    <t>Motor Vehicle Driver</t>
  </si>
  <si>
    <t>Pedestrian and Bicyclist</t>
  </si>
  <si>
    <t>Degree of Alcohol Impairment</t>
  </si>
  <si>
    <t>Age</t>
  </si>
  <si>
    <t>Hour of Day</t>
  </si>
  <si>
    <t>A.M. Total</t>
  </si>
  <si>
    <t>P.M. Total</t>
  </si>
  <si>
    <t>Unknown hour</t>
  </si>
  <si>
    <t>HBD* Driver</t>
  </si>
  <si>
    <t>HNBD* Driver</t>
  </si>
  <si>
    <t>HBD* - under influence</t>
  </si>
  <si>
    <t>*See Glossary for definition</t>
  </si>
  <si>
    <t>Lane splitting</t>
  </si>
  <si>
    <t>Percent HBD parties were killed/injured</t>
  </si>
  <si>
    <t>Motorcyclist*</t>
  </si>
  <si>
    <t>Operator</t>
  </si>
  <si>
    <t>*Motorcyclist included under Driver &amp; Passenger categories.  May be under reported for non-CHP agencies due to a traffic collision report form revision July 2003.</t>
  </si>
  <si>
    <t>(See Preface for details.)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</si>
</sst>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_(* #,##0_);_(* \(#,##0\);_(* &quot;-&quot;??_);_(@_)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4"/>
      <color theme="1"/>
      <name val="Tahoma"/>
      <family val="2"/>
    </font>
    <font>
      <sz val="12"/>
      <color theme="1"/>
      <name val="Tahoma"/>
      <family val="2"/>
    </font>
    <font>
      <sz val="10"/>
      <name val="Arial"/>
      <family val="2"/>
    </font>
    <font>
      <b/>
      <sz val="14"/>
      <name val="Tahoma"/>
      <family val="2"/>
    </font>
    <font>
      <b/>
      <sz val="12"/>
      <color theme="1"/>
      <name val="Tahoma"/>
      <family val="2"/>
    </font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0"/>
      <color theme="1"/>
      <name val="Tahoma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scheme val="minor"/>
    </font>
    <font>
      <i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</borders>
  <cellStyleXfs count="3">
    <xf numFmtId="0" fontId="0" fillId="0" borderId="0"/>
    <xf numFmtId="0" fontId="4" fillId="0" borderId="0"/>
    <xf numFmtId="9" fontId="7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1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/>
    <xf numFmtId="3" fontId="0" fillId="0" borderId="0" xfId="0" applyNumberFormat="1"/>
    <xf numFmtId="3" fontId="3" fillId="0" borderId="0" xfId="0" applyNumberFormat="1" applyFont="1"/>
    <xf numFmtId="0" fontId="6" fillId="0" borderId="0" xfId="0" pivotButton="1" applyFont="1"/>
    <xf numFmtId="0" fontId="6" fillId="0" borderId="0" xfId="0" pivotButton="1" applyFont="1" applyAlignment="1">
      <alignment horizontal="right"/>
    </xf>
    <xf numFmtId="0" fontId="1" fillId="0" borderId="0" xfId="0" applyFont="1" applyAlignment="1">
      <alignment horizontal="right"/>
    </xf>
    <xf numFmtId="0" fontId="9" fillId="0" borderId="0" xfId="0" applyFont="1"/>
    <xf numFmtId="0" fontId="6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/>
    </xf>
    <xf numFmtId="3" fontId="10" fillId="0" borderId="1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0" fontId="13" fillId="0" borderId="1" xfId="0" applyFont="1" applyBorder="1"/>
    <xf numFmtId="0" fontId="0" fillId="2" borderId="0" xfId="0" applyFill="1"/>
    <xf numFmtId="0" fontId="0" fillId="0" borderId="0" xfId="0" pivotButton="1"/>
    <xf numFmtId="0" fontId="0" fillId="0" borderId="0" xfId="0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4" fillId="0" borderId="0" xfId="0" applyFont="1"/>
    <xf numFmtId="0" fontId="6" fillId="0" borderId="0" xfId="0" pivotButton="1" applyFont="1" applyAlignment="1">
      <alignment horizontal="right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left"/>
    </xf>
    <xf numFmtId="3" fontId="11" fillId="0" borderId="1" xfId="0" applyNumberFormat="1" applyFont="1" applyBorder="1"/>
    <xf numFmtId="0" fontId="1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164" fontId="10" fillId="0" borderId="1" xfId="2" applyNumberFormat="1" applyFont="1" applyBorder="1" applyAlignment="1">
      <alignment horizontal="right"/>
    </xf>
    <xf numFmtId="3" fontId="10" fillId="0" borderId="1" xfId="0" applyNumberFormat="1" applyFont="1" applyBorder="1"/>
    <xf numFmtId="0" fontId="6" fillId="0" borderId="0" xfId="0" pivotButton="1" applyFont="1" applyAlignment="1">
      <alignment horizontal="left"/>
    </xf>
    <xf numFmtId="0" fontId="15" fillId="0" borderId="1" xfId="0" applyFont="1" applyBorder="1"/>
    <xf numFmtId="165" fontId="15" fillId="0" borderId="1" xfId="0" applyNumberFormat="1" applyFont="1" applyBorder="1"/>
    <xf numFmtId="0" fontId="16" fillId="0" borderId="0" xfId="0" applyFont="1" applyAlignment="1">
      <alignment horizontal="left"/>
    </xf>
    <xf numFmtId="3" fontId="16" fillId="0" borderId="0" xfId="0" applyNumberFormat="1" applyFont="1"/>
    <xf numFmtId="0" fontId="16" fillId="0" borderId="0" xfId="0" applyFont="1" applyAlignment="1">
      <alignment horizontal="right"/>
    </xf>
    <xf numFmtId="0" fontId="15" fillId="0" borderId="0" xfId="0" pivotButton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pivotButton="1" applyFont="1" applyAlignment="1">
      <alignment horizontal="left"/>
    </xf>
    <xf numFmtId="3" fontId="15" fillId="0" borderId="0" xfId="0" applyNumberFormat="1" applyFont="1"/>
    <xf numFmtId="0" fontId="16" fillId="0" borderId="0" xfId="0" applyFont="1"/>
    <xf numFmtId="0" fontId="16" fillId="0" borderId="0" xfId="0" pivotButton="1" applyFont="1"/>
    <xf numFmtId="3" fontId="16" fillId="0" borderId="0" xfId="0" applyNumberFormat="1" applyFont="1" applyAlignment="1">
      <alignment horizontal="right"/>
    </xf>
    <xf numFmtId="0" fontId="17" fillId="0" borderId="0" xfId="0" applyFont="1"/>
    <xf numFmtId="0" fontId="17" fillId="0" borderId="0" xfId="0" pivotButton="1" applyFont="1"/>
    <xf numFmtId="0" fontId="17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0" fontId="16" fillId="0" borderId="1" xfId="0" pivotButton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left"/>
    </xf>
    <xf numFmtId="3" fontId="16" fillId="0" borderId="1" xfId="0" applyNumberFormat="1" applyFont="1" applyBorder="1"/>
    <xf numFmtId="0" fontId="16" fillId="0" borderId="1" xfId="0" applyFont="1" applyBorder="1" applyAlignment="1">
      <alignment horizontal="right"/>
    </xf>
    <xf numFmtId="0" fontId="17" fillId="0" borderId="1" xfId="0" pivotButton="1" applyFont="1" applyBorder="1" applyAlignment="1">
      <alignment horizontal="right"/>
    </xf>
    <xf numFmtId="0" fontId="17" fillId="0" borderId="1" xfId="0" pivotButton="1" applyFont="1" applyBorder="1"/>
    <xf numFmtId="0" fontId="17" fillId="0" borderId="1" xfId="0" applyFont="1" applyBorder="1" applyAlignment="1">
      <alignment horizontal="right"/>
    </xf>
    <xf numFmtId="0" fontId="17" fillId="0" borderId="1" xfId="0" applyFont="1" applyBorder="1" applyAlignment="1">
      <alignment horizontal="left"/>
    </xf>
    <xf numFmtId="0" fontId="17" fillId="0" borderId="0" xfId="0" pivotButton="1" applyFont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right" wrapText="1"/>
    </xf>
    <xf numFmtId="0" fontId="6" fillId="0" borderId="1" xfId="0" applyFont="1" applyBorder="1"/>
    <xf numFmtId="0" fontId="1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pivotButton="1" applyFont="1" applyBorder="1" applyAlignment="1">
      <alignment horizontal="center"/>
    </xf>
    <xf numFmtId="0" fontId="17" fillId="0" borderId="1" xfId="0" pivotButton="1" applyFont="1" applyBorder="1" applyAlignment="1">
      <alignment horizontal="left"/>
    </xf>
    <xf numFmtId="0" fontId="18" fillId="0" borderId="0" xfId="0" applyFont="1"/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6" fillId="0" borderId="2" xfId="0" applyFont="1" applyBorder="1" applyAlignment="1">
      <alignment horizontal="left" wrapText="1"/>
    </xf>
    <xf numFmtId="166" fontId="16" fillId="0" borderId="2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4" fontId="19" fillId="0" borderId="0" xfId="0" applyNumberFormat="1" applyFont="1"/>
    <xf numFmtId="0" fontId="20" fillId="0" borderId="0" xfId="0" pivotButton="1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pivotButton="1" applyFont="1" applyAlignment="1">
      <alignment horizontal="left"/>
    </xf>
    <xf numFmtId="0" fontId="20" fillId="0" borderId="0" xfId="0" applyFont="1" applyAlignment="1">
      <alignment horizontal="left"/>
    </xf>
    <xf numFmtId="3" fontId="20" fillId="0" borderId="0" xfId="0" applyNumberFormat="1" applyFont="1"/>
    <xf numFmtId="0" fontId="20" fillId="0" borderId="0" xfId="0" applyFont="1" applyAlignment="1">
      <alignment horizontal="center" vertical="center" wrapText="1"/>
    </xf>
    <xf numFmtId="0" fontId="1" fillId="0" borderId="0" xfId="0" pivotButton="1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6" fillId="0" borderId="0" xfId="0" applyFont="1"/>
    <xf numFmtId="3" fontId="1" fillId="0" borderId="1" xfId="0" applyNumberFormat="1" applyFont="1" applyBorder="1"/>
    <xf numFmtId="0" fontId="21" fillId="0" borderId="0" xfId="0" applyFont="1"/>
    <xf numFmtId="0" fontId="1" fillId="0" borderId="1" xfId="0" pivotButton="1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6" fillId="0" borderId="1" xfId="0" pivotButton="1" applyFont="1" applyBorder="1" applyAlignment="1">
      <alignment horizontal="right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right"/>
    </xf>
  </cellXfs>
  <cellStyles count="3">
    <cellStyle name="Normal" xfId="0" builtinId="0"/>
    <cellStyle name="Normal 2" xfId="1" xr:uid="{25B01616-E3C7-4A6A-AF74-CDFEAF580C66}"/>
    <cellStyle name="Percent" xfId="2" builtinId="5"/>
  </cellStyles>
  <dxfs count="761">
    <dxf>
      <font>
        <sz val="11"/>
      </font>
    </dxf>
    <dxf>
      <font>
        <name val="Calibri"/>
        <family val="2"/>
        <scheme val="minor"/>
      </font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wrapText="1"/>
    </dxf>
    <dxf>
      <alignment wrapText="1"/>
    </dxf>
    <dxf>
      <font>
        <sz val="11"/>
      </font>
    </dxf>
    <dxf>
      <font>
        <name val="Calibri"/>
        <scheme val="minor"/>
      </font>
    </dxf>
    <dxf>
      <font>
        <b val="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alignment wrapText="1"/>
    </dxf>
    <dxf>
      <numFmt numFmtId="165" formatCode="_(* #,##0_);_(* \(#,##0\);_(* &quot;-&quot;??_);_(@_)"/>
    </dxf>
    <dxf>
      <numFmt numFmtId="165" formatCode="_(* #,##0_);_(* \(#,##0\);_(* &quot;-&quot;??_);_(@_)"/>
    </dxf>
    <dxf>
      <font>
        <sz val="11"/>
      </font>
    </dxf>
    <dxf>
      <font>
        <name val="Calibri"/>
        <scheme val="minor"/>
      </font>
    </dxf>
    <dxf>
      <font>
        <b val="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1"/>
      </font>
    </dxf>
    <dxf>
      <font>
        <name val="Calibri"/>
        <scheme val="minor"/>
      </font>
    </dxf>
    <dxf>
      <alignment horizontal="right"/>
    </dxf>
    <dxf>
      <alignment horizontal="right"/>
    </dxf>
    <dxf>
      <alignment horizontal="left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b val="0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sz val="11"/>
      </font>
    </dxf>
    <dxf>
      <font>
        <name val="Calibri"/>
        <scheme val="minor"/>
      </font>
    </dxf>
    <dxf>
      <alignment horizontal="right"/>
    </dxf>
    <dxf>
      <alignment horizontal="right"/>
    </dxf>
    <dxf>
      <alignment horizontal="left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b val="0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sz val="11"/>
      </font>
    </dxf>
    <dxf>
      <font>
        <name val="Calibri"/>
        <scheme val="minor"/>
      </font>
    </dxf>
    <dxf>
      <alignment horizontal="left"/>
    </dxf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left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horizontal="left"/>
    </dxf>
    <dxf>
      <font>
        <b val="0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 val="0"/>
      </font>
    </dxf>
    <dxf>
      <font>
        <b/>
      </font>
    </dxf>
    <dxf>
      <alignment horizontal="right"/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font>
        <b/>
      </font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alignment horizontal="right"/>
    </dxf>
    <dxf>
      <numFmt numFmtId="3" formatCode="#,##0"/>
    </dxf>
    <dxf>
      <alignment horizontal="right"/>
    </dxf>
    <dxf>
      <alignment horizontal="right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 val="0"/>
      </font>
    </dxf>
    <dxf>
      <alignment horizontal="right"/>
    </dxf>
    <dxf>
      <numFmt numFmtId="3" formatCode="#,##0"/>
    </dxf>
    <dxf>
      <font>
        <b/>
      </font>
    </dxf>
    <dxf>
      <alignment horizontal="right"/>
    </dxf>
    <dxf>
      <alignment horizontal="left"/>
    </dxf>
    <dxf>
      <alignment horizontal="right"/>
    </dxf>
    <dxf>
      <font>
        <b/>
        <family val="2"/>
      </font>
    </dxf>
    <dxf>
      <alignment wrapText="1"/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font>
        <b val="0"/>
      </font>
    </dxf>
    <dxf>
      <alignment horizontal="right"/>
    </dxf>
    <dxf>
      <numFmt numFmtId="3" formatCode="#,##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alignment horizontal="right"/>
    </dxf>
    <dxf>
      <font>
        <b/>
      </font>
    </dxf>
    <dxf>
      <font>
        <b val="0"/>
      </font>
    </dxf>
    <dxf>
      <alignment horizontal="right"/>
    </dxf>
    <dxf>
      <font>
        <b/>
      </font>
    </dxf>
    <dxf>
      <numFmt numFmtId="3" formatCode="#,##0"/>
    </dxf>
    <dxf>
      <font>
        <b/>
      </font>
    </dxf>
    <dxf>
      <alignment horizontal="right"/>
    </dxf>
    <dxf>
      <alignment horizontal="left"/>
    </dxf>
    <dxf>
      <alignment horizontal="right"/>
    </dxf>
    <dxf>
      <font>
        <b/>
        <family val="2"/>
      </font>
    </dxf>
    <dxf>
      <alignment wrapText="1"/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alignment horizontal="right"/>
    </dxf>
    <dxf>
      <font>
        <b val="0"/>
      </font>
    </dxf>
    <dxf>
      <font>
        <b/>
      </font>
    </dxf>
    <dxf>
      <font>
        <b/>
        <family val="2"/>
      </font>
    </dxf>
    <dxf>
      <font>
        <b/>
        <family val="2"/>
      </font>
    </dxf>
    <dxf>
      <numFmt numFmtId="3" formatCode="#,##0"/>
    </dxf>
    <dxf>
      <alignment horizontal="right"/>
    </dxf>
    <dxf>
      <font>
        <b/>
        <family val="2"/>
      </font>
    </dxf>
    <dxf>
      <alignment horizontal="right"/>
    </dxf>
    <dxf>
      <font>
        <b/>
        <family val="2"/>
      </font>
    </dxf>
    <dxf>
      <alignment wrapText="1"/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alignment horizontal="right"/>
    </dxf>
    <dxf>
      <font>
        <b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font>
        <b/>
        <family val="2"/>
      </font>
    </dxf>
    <dxf>
      <font>
        <b/>
        <family val="2"/>
      </font>
    </dxf>
    <dxf>
      <numFmt numFmtId="3" formatCode="#,##0"/>
    </dxf>
    <dxf>
      <alignment horizontal="right"/>
    </dxf>
    <dxf>
      <font>
        <b/>
        <family val="2"/>
      </font>
    </dxf>
    <dxf>
      <alignment horizontal="right"/>
    </dxf>
    <dxf>
      <font>
        <b/>
        <family val="2"/>
      </font>
    </dxf>
    <dxf>
      <alignment wrapText="1"/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alignment horizontal="right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horizontal="right"/>
    </dxf>
    <dxf>
      <alignment wrapText="1"/>
    </dxf>
    <dxf>
      <alignment horizontal="right"/>
    </dxf>
    <dxf>
      <alignment horizontal="right"/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 val="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horizontal="right"/>
    </dxf>
    <dxf>
      <alignment horizontal="right"/>
    </dxf>
    <dxf>
      <alignment horizontal="right"/>
    </dxf>
    <dxf>
      <font>
        <b/>
      </font>
    </dxf>
    <dxf>
      <font>
        <name val="Tahoma"/>
        <scheme val="none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font>
        <b/>
      </font>
    </dxf>
    <dxf>
      <font>
        <b/>
      </font>
    </dxf>
    <dxf>
      <alignment horizontal="right"/>
    </dxf>
    <dxf>
      <alignment horizontal="right"/>
    </dxf>
    <dxf>
      <alignment horizontal="right"/>
    </dxf>
    <dxf>
      <numFmt numFmtId="3" formatCode="#,##0"/>
    </dxf>
    <dxf>
      <numFmt numFmtId="3" formatCode="#,##0"/>
    </dxf>
    <dxf>
      <font>
        <b/>
        <family val="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right"/>
    </dxf>
    <dxf>
      <alignment horizontal="right"/>
    </dxf>
    <dxf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font>
        <b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numFmt numFmtId="3" formatCode="#,##0"/>
    </dxf>
    <dxf>
      <numFmt numFmtId="3" formatCode="#,##0"/>
    </dxf>
    <dxf>
      <font>
        <b/>
        <family val="2"/>
      </font>
    </dxf>
    <dxf>
      <font>
        <b/>
        <family val="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  <family val="2"/>
      </font>
    </dxf>
    <dxf>
      <font>
        <b/>
        <family val="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</dxf>
    <dxf>
      <font>
        <b val="0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 val="0"/>
        <i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 tint="0.499984740745262"/>
      </font>
    </dxf>
    <dxf>
      <font>
        <b/>
        <color theme="1"/>
      </font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solid">
          <fgColor theme="0" tint="-0.14999847407452621"/>
          <bgColor theme="0" tint="-0.1499984740745262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color theme="1"/>
      </font>
      <border>
        <horizontal style="thin">
          <color theme="0" tint="-0.14999847407452621"/>
        </horizontal>
      </border>
    </dxf>
    <dxf>
      <font>
        <b/>
        <i val="0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solid">
          <fgColor theme="0" tint="-0.14999847407452621"/>
          <bgColor theme="0" tint="-0.1499984740745262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b/>
        <color theme="1"/>
      </font>
      <fill>
        <patternFill patternType="solid">
          <fgColor theme="0"/>
          <bgColor theme="0"/>
        </patternFill>
      </fill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color theme="1"/>
      </font>
      <border>
        <horizontal style="thin">
          <color theme="0" tint="-0.14999847407452621"/>
        </horizontal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left style="thin">
          <color theme="0" tint="-0.34998626667073579"/>
        </left>
        <right style="thin">
          <color theme="0" tint="-0.34998626667073579"/>
        </right>
      </border>
    </dxf>
    <dxf>
      <font>
        <b/>
        <i val="0"/>
      </font>
    </dxf>
    <dxf>
      <font>
        <b/>
        <color theme="1"/>
      </font>
      <border>
        <bottom style="thin">
          <color theme="1" tint="0.499984740745262"/>
        </bottom>
      </border>
    </dxf>
    <dxf>
      <font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  <strike val="0"/>
      </font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left style="thin">
          <color theme="0" tint="-0.34998626667073579"/>
        </left>
        <right style="thin">
          <color theme="0" tint="-0.34998626667073579"/>
        </right>
      </border>
    </dxf>
    <dxf>
      <font>
        <b/>
        <i val="0"/>
      </font>
    </dxf>
    <dxf>
      <font>
        <b/>
        <i val="0"/>
      </font>
    </dxf>
    <dxf>
      <font>
        <b val="0"/>
        <i val="0"/>
        <strike val="0"/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</font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  <strike val="0"/>
      </font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left style="thin">
          <color theme="0" tint="-0.34998626667073579"/>
        </left>
        <right style="thin">
          <color theme="0" tint="-0.34998626667073579"/>
        </right>
      </border>
    </dxf>
    <dxf>
      <font>
        <b/>
        <i val="0"/>
      </font>
    </dxf>
    <dxf>
      <font>
        <b/>
        <color theme="1"/>
      </font>
      <border>
        <bottom style="thin">
          <color theme="1" tint="0.499984740745262"/>
        </bottom>
      </border>
    </dxf>
    <dxf>
      <font>
        <b val="0"/>
        <i val="0"/>
        <strike val="0"/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</dxfs>
  <tableStyles count="19" defaultTableStyle="TableStyleMedium2" defaultPivotStyle="PivotStyleLight16">
    <tableStyle name="4A" table="0" count="1" xr9:uid="{9F22B6EB-22FA-46BA-BC19-57E39D7C31EF}">
      <tableStyleElement type="wholeTable" dxfId="760"/>
    </tableStyle>
    <tableStyle name="ADA" table="0" count="6" xr9:uid="{76F43C60-DF28-4A87-80D4-87E34A4112F6}">
      <tableStyleElement type="wholeTable" dxfId="759"/>
      <tableStyleElement type="headerRow" dxfId="758"/>
      <tableStyleElement type="totalRow" dxfId="757"/>
      <tableStyleElement type="firstSubtotalColumn" dxfId="756"/>
      <tableStyleElement type="firstSubtotalRow" dxfId="755"/>
      <tableStyleElement type="secondSubtotalRow" dxfId="754"/>
    </tableStyle>
    <tableStyle name="ADA 10" table="0" count="4" xr9:uid="{DEA2F861-02AF-4D8C-8516-5741B907AD3B}">
      <tableStyleElement type="wholeTable" dxfId="753"/>
      <tableStyleElement type="headerRow" dxfId="752"/>
      <tableStyleElement type="totalRow" dxfId="751"/>
      <tableStyleElement type="firstRowSubheading" dxfId="750"/>
    </tableStyle>
    <tableStyle name="ADA 11" table="0" count="3" xr9:uid="{71E7DEEA-98DE-4DFB-806D-1B84D064EFF3}">
      <tableStyleElement type="wholeTable" dxfId="749"/>
      <tableStyleElement type="headerRow" dxfId="748"/>
      <tableStyleElement type="totalRow" dxfId="747"/>
    </tableStyle>
    <tableStyle name="ADA 12" table="0" count="3" xr9:uid="{9118B237-F51C-47B8-999B-3EEB9E1D2B1F}">
      <tableStyleElement type="wholeTable" dxfId="746"/>
      <tableStyleElement type="headerRow" dxfId="745"/>
      <tableStyleElement type="totalRow" dxfId="744"/>
    </tableStyle>
    <tableStyle name="ADA 13" table="0" count="3" xr9:uid="{10F4C210-1799-465D-AB6A-1A8942086FF4}">
      <tableStyleElement type="wholeTable" dxfId="743"/>
      <tableStyleElement type="headerRow" dxfId="742"/>
      <tableStyleElement type="totalRow" dxfId="741"/>
    </tableStyle>
    <tableStyle name="ADA 14" table="0" count="3" xr9:uid="{6579EADD-6FF1-4205-9C38-4D5489FAB50B}">
      <tableStyleElement type="wholeTable" dxfId="740"/>
      <tableStyleElement type="headerRow" dxfId="739"/>
      <tableStyleElement type="totalRow" dxfId="738"/>
    </tableStyle>
    <tableStyle name="ADA 2" table="0" count="1" xr9:uid="{CB473FBF-FD03-4C38-B3D0-91388CCFE2AB}">
      <tableStyleElement type="wholeTable" dxfId="737"/>
    </tableStyle>
    <tableStyle name="ADA 3" table="0" count="6" xr9:uid="{0F84F416-53C5-420C-85F0-525203CDFB5F}">
      <tableStyleElement type="wholeTable" dxfId="736"/>
      <tableStyleElement type="headerRow" dxfId="735"/>
      <tableStyleElement type="totalRow" dxfId="734"/>
      <tableStyleElement type="firstSubtotalColumn" dxfId="733"/>
      <tableStyleElement type="firstSubtotalRow" dxfId="732"/>
      <tableStyleElement type="secondSubtotalRow" dxfId="731"/>
    </tableStyle>
    <tableStyle name="ADA 4" table="0" count="4" xr9:uid="{146F9B09-939A-42BD-84C0-65CF3908D3DD}">
      <tableStyleElement type="wholeTable" dxfId="730"/>
      <tableStyleElement type="headerRow" dxfId="729"/>
      <tableStyleElement type="totalRow" dxfId="728"/>
      <tableStyleElement type="firstRowSubheading" dxfId="727"/>
    </tableStyle>
    <tableStyle name="ADA 5" table="0" count="6" xr9:uid="{FB8B8134-C7B6-4BFE-98EA-2D7D03BFAB5B}">
      <tableStyleElement type="wholeTable" dxfId="726"/>
      <tableStyleElement type="headerRow" dxfId="725"/>
      <tableStyleElement type="totalRow" dxfId="724"/>
      <tableStyleElement type="firstSubtotalColumn" dxfId="723"/>
      <tableStyleElement type="firstSubtotalRow" dxfId="722"/>
      <tableStyleElement type="secondSubtotalRow" dxfId="721"/>
    </tableStyle>
    <tableStyle name="ADA 6" table="0" count="11" xr9:uid="{FFB2A53B-5967-47EB-8E3B-C3AAB4FBD7A0}">
      <tableStyleElement type="wholeTable" dxfId="720"/>
      <tableStyleElement type="headerRow" dxfId="719"/>
      <tableStyleElement type="totalRow" dxfId="718"/>
      <tableStyleElement type="firstRowStripe" dxfId="717"/>
      <tableStyleElement type="firstColumnStripe" dxfId="716"/>
      <tableStyleElement type="firstSubtotalRow" dxfId="715"/>
      <tableStyleElement type="secondSubtotalRow" dxfId="714"/>
      <tableStyleElement type="firstRowSubheading" dxfId="713"/>
      <tableStyleElement type="secondRowSubheading" dxfId="712"/>
      <tableStyleElement type="pageFieldLabels" dxfId="711"/>
      <tableStyleElement type="pageFieldValues" dxfId="710"/>
    </tableStyle>
    <tableStyle name="ADA 7" table="0" count="3" xr9:uid="{AFE0A9D4-5F6E-400E-9902-F6F621DAD1DA}">
      <tableStyleElement type="wholeTable" dxfId="709"/>
      <tableStyleElement type="headerRow" dxfId="708"/>
      <tableStyleElement type="totalRow" dxfId="707"/>
    </tableStyle>
    <tableStyle name="ADA 8" table="0" count="3" xr9:uid="{D794964C-8B69-4BEF-93EC-5197C872094F}">
      <tableStyleElement type="wholeTable" dxfId="706"/>
      <tableStyleElement type="headerRow" dxfId="705"/>
      <tableStyleElement type="totalRow" dxfId="704"/>
    </tableStyle>
    <tableStyle name="ADA 9" table="0" count="7" xr9:uid="{8F2CEB75-C398-481C-AAA3-68F31D1417EB}">
      <tableStyleElement type="wholeTable" dxfId="703"/>
      <tableStyleElement type="firstRowStripe" dxfId="702"/>
      <tableStyleElement type="firstColumnStripe" dxfId="701"/>
      <tableStyleElement type="firstRowSubheading" dxfId="700"/>
      <tableStyleElement type="secondRowSubheading" dxfId="699"/>
      <tableStyleElement type="pageFieldLabels" dxfId="698"/>
      <tableStyleElement type="pageFieldValues" dxfId="697"/>
    </tableStyle>
    <tableStyle name="Yanyong2" table="0" count="1" xr9:uid="{ECD1259A-1E5C-4B3F-A3A4-6274DAEE434C}">
      <tableStyleElement type="wholeTable" dxfId="696"/>
    </tableStyle>
    <tableStyle name="Yanyong2 2" table="0" count="1" xr9:uid="{62668C87-49EE-4900-BD1D-1E420FAA6E67}">
      <tableStyleElement type="wholeTable" dxfId="695"/>
    </tableStyle>
    <tableStyle name="Yanyong2 3" table="0" count="1" xr9:uid="{02241283-B3D8-4F20-8C36-87DF19B9DB91}">
      <tableStyleElement type="wholeTable" dxfId="694"/>
    </tableStyle>
    <tableStyle name="Yanyong2 4" table="0" count="1" xr9:uid="{E246FA7B-B530-4BAE-8579-D44771162820}">
      <tableStyleElement type="wholeTable" dxfId="69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ivotCacheDefinition" Target="pivotCache/pivotCacheDefinition8.xml"/><Relationship Id="rId39" Type="http://schemas.openxmlformats.org/officeDocument/2006/relationships/pivotCacheDefinition" Target="pivotCache/pivotCacheDefinition21.xml"/><Relationship Id="rId21" Type="http://schemas.openxmlformats.org/officeDocument/2006/relationships/pivotCacheDefinition" Target="pivotCache/pivotCacheDefinition3.xml"/><Relationship Id="rId34" Type="http://schemas.openxmlformats.org/officeDocument/2006/relationships/pivotCacheDefinition" Target="pivotCache/pivotCacheDefinition16.xml"/><Relationship Id="rId42" Type="http://schemas.openxmlformats.org/officeDocument/2006/relationships/connections" Target="connection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pivotCacheDefinition" Target="pivotCache/pivotCacheDefinition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6.xml"/><Relationship Id="rId32" Type="http://schemas.openxmlformats.org/officeDocument/2006/relationships/pivotCacheDefinition" Target="pivotCache/pivotCacheDefinition14.xml"/><Relationship Id="rId37" Type="http://schemas.openxmlformats.org/officeDocument/2006/relationships/pivotCacheDefinition" Target="pivotCache/pivotCacheDefinition19.xml"/><Relationship Id="rId40" Type="http://schemas.openxmlformats.org/officeDocument/2006/relationships/pivotCacheDefinition" Target="pivotCache/pivotCacheDefinition22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5.xml"/><Relationship Id="rId28" Type="http://schemas.openxmlformats.org/officeDocument/2006/relationships/pivotCacheDefinition" Target="pivotCache/pivotCacheDefinition10.xml"/><Relationship Id="rId36" Type="http://schemas.openxmlformats.org/officeDocument/2006/relationships/pivotCacheDefinition" Target="pivotCache/pivotCacheDefinition18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31" Type="http://schemas.openxmlformats.org/officeDocument/2006/relationships/pivotCacheDefinition" Target="pivotCache/pivotCacheDefinition13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4.xml"/><Relationship Id="rId27" Type="http://schemas.openxmlformats.org/officeDocument/2006/relationships/pivotCacheDefinition" Target="pivotCache/pivotCacheDefinition9.xml"/><Relationship Id="rId30" Type="http://schemas.openxmlformats.org/officeDocument/2006/relationships/pivotCacheDefinition" Target="pivotCache/pivotCacheDefinition12.xml"/><Relationship Id="rId35" Type="http://schemas.openxmlformats.org/officeDocument/2006/relationships/pivotCacheDefinition" Target="pivotCache/pivotCacheDefinition17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7.xml"/><Relationship Id="rId33" Type="http://schemas.openxmlformats.org/officeDocument/2006/relationships/pivotCacheDefinition" Target="pivotCache/pivotCacheDefinition15.xml"/><Relationship Id="rId38" Type="http://schemas.openxmlformats.org/officeDocument/2006/relationships/pivotCacheDefinition" Target="pivotCache/pivotCacheDefinition20.xml"/><Relationship Id="rId46" Type="http://schemas.openxmlformats.org/officeDocument/2006/relationships/customXml" Target="../customXml/item1.xml"/><Relationship Id="rId20" Type="http://schemas.openxmlformats.org/officeDocument/2006/relationships/pivotCacheDefinition" Target="pivotCache/pivotCacheDefinition2.xml"/><Relationship Id="rId4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[9-Section Five 2021.xlsx]Parameters!PivotTable13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200" b="1" i="0" baseline="0">
                <a:solidFill>
                  <a:schemeClr val="tx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ALCOHOL INVOLVED FATAL CRASHES BY DAY OF WEEK - 2021</a:t>
            </a:r>
            <a:endParaRPr lang="en-US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6.7744873793089494E-2"/>
          <c:y val="0.15772528433945757"/>
          <c:w val="0.86370328387614792"/>
          <c:h val="0.71289071114631386"/>
        </c:manualLayout>
      </c:layout>
      <c:lineChart>
        <c:grouping val="standard"/>
        <c:varyColors val="0"/>
        <c:ser>
          <c:idx val="0"/>
          <c:order val="0"/>
          <c:tx>
            <c:strRef>
              <c:f>Parameters!$B$98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Parameters!$A$99:$A$106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Parameters!$B$99:$B$106</c:f>
              <c:numCache>
                <c:formatCode>#,##0</c:formatCode>
                <c:ptCount val="7"/>
                <c:pt idx="0">
                  <c:v>136</c:v>
                </c:pt>
                <c:pt idx="1">
                  <c:v>102</c:v>
                </c:pt>
                <c:pt idx="2">
                  <c:v>123</c:v>
                </c:pt>
                <c:pt idx="3">
                  <c:v>121</c:v>
                </c:pt>
                <c:pt idx="4">
                  <c:v>184</c:v>
                </c:pt>
                <c:pt idx="5">
                  <c:v>296</c:v>
                </c:pt>
                <c:pt idx="6">
                  <c:v>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52-4FEC-9287-3A97EAA555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72159"/>
        <c:axId val="466773823"/>
      </c:lineChart>
      <c:catAx>
        <c:axId val="466772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773823"/>
        <c:crosses val="autoZero"/>
        <c:auto val="1"/>
        <c:lblAlgn val="ctr"/>
        <c:lblOffset val="100"/>
        <c:noMultiLvlLbl val="0"/>
      </c:catAx>
      <c:valAx>
        <c:axId val="466773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7721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[9-Section Five 2021.xlsx]Parameters!PivotTable5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2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ALCOHOL</a:t>
            </a:r>
            <a:r>
              <a:rPr lang="en-US" sz="1200" b="1" baseline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INVOLVED INJURY CRASHES BY DAY OF WEEK - 2021</a:t>
            </a:r>
            <a:endParaRPr lang="en-US" sz="1200" b="1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7012150367340871E-2"/>
          <c:y val="0.15768062170572503"/>
          <c:w val="0.82515365990562639"/>
          <c:h val="0.70925576858814843"/>
        </c:manualLayout>
      </c:layout>
      <c:lineChart>
        <c:grouping val="standard"/>
        <c:varyColors val="0"/>
        <c:ser>
          <c:idx val="0"/>
          <c:order val="0"/>
          <c:tx>
            <c:strRef>
              <c:f>Parameters!$B$112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Parameters!$A$113:$A$120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Parameters!$B$113:$B$120</c:f>
              <c:numCache>
                <c:formatCode>#,##0</c:formatCode>
                <c:ptCount val="7"/>
                <c:pt idx="0">
                  <c:v>2179</c:v>
                </c:pt>
                <c:pt idx="1">
                  <c:v>1812</c:v>
                </c:pt>
                <c:pt idx="2">
                  <c:v>2096</c:v>
                </c:pt>
                <c:pt idx="3">
                  <c:v>2179</c:v>
                </c:pt>
                <c:pt idx="4">
                  <c:v>3014</c:v>
                </c:pt>
                <c:pt idx="5">
                  <c:v>4121</c:v>
                </c:pt>
                <c:pt idx="6">
                  <c:v>4385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D9-4CB8-894F-EF9B0BB9A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7807832"/>
        <c:axId val="1117806848"/>
      </c:lineChart>
      <c:catAx>
        <c:axId val="1117807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7806848"/>
        <c:crosses val="autoZero"/>
        <c:auto val="1"/>
        <c:lblAlgn val="ctr"/>
        <c:lblOffset val="100"/>
        <c:noMultiLvlLbl val="0"/>
      </c:catAx>
      <c:valAx>
        <c:axId val="1117806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7807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33</xdr:row>
      <xdr:rowOff>28575</xdr:rowOff>
    </xdr:from>
    <xdr:to>
      <xdr:col>8</xdr:col>
      <xdr:colOff>485775</xdr:colOff>
      <xdr:row>57</xdr:row>
      <xdr:rowOff>57150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130DD1E1-6532-44FC-B4F2-E06342FF9B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200023</xdr:rowOff>
    </xdr:from>
    <xdr:to>
      <xdr:col>8</xdr:col>
      <xdr:colOff>581024</xdr:colOff>
      <xdr:row>56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271979-BE0F-45FB-BC28-265E42FFA8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63888888" backgroundQuery="1" missingItemsLimit="0" createdVersion="7" refreshedVersion="8" minRefreshableVersion="3" recordCount="7" xr:uid="{39A474E3-8914-4236-B68D-D373E5185A38}">
  <cacheSource type="external" connectionId="27"/>
  <cacheFields count="2">
    <cacheField name="Collision_Date" numFmtId="0">
      <sharedItems count="7">
        <s v="Saturday"/>
        <s v="Friday"/>
        <s v="Sunday"/>
        <s v="Wednesday"/>
        <s v="Monday"/>
        <s v="Thursday"/>
        <s v="Tuesday"/>
      </sharedItems>
    </cacheField>
    <cacheField name="Count" numFmtId="0">
      <sharedItems containsSemiMixedTypes="0" containsString="0" containsNumber="1" containsInteger="1" minValue="102" maxValue="296" count="7">
        <n v="296"/>
        <n v="184"/>
        <n v="258"/>
        <n v="123"/>
        <n v="136"/>
        <n v="121"/>
        <n v="10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64583334" backgroundQuery="1" missingItemsLimit="0" createdVersion="6" refreshedVersion="8" minRefreshableVersion="3" recordCount="13" xr:uid="{77C3FA70-D4F9-4EDF-B9E1-17FB811BEB8A}">
  <cacheSource type="external" connectionId="24"/>
  <cacheFields count="2">
    <cacheField name="Age_Group_9" numFmtId="0">
      <sharedItems count="13">
        <s v="0-14"/>
        <s v="15-20"/>
        <s v="21-24"/>
        <s v="25-29"/>
        <s v="30-34"/>
        <s v="35-39"/>
        <s v="40-44"/>
        <s v="45-49"/>
        <s v="50-54"/>
        <s v="55-59"/>
        <s v="60-64"/>
        <s v="65 and over"/>
        <s v="Not Stated"/>
      </sharedItems>
    </cacheField>
    <cacheField name="Count" numFmtId="0">
      <sharedItems containsSemiMixedTypes="0" containsString="0" containsNumber="1" containsInteger="1" minValue="365" maxValue="36891" count="13">
        <n v="365"/>
        <n v="25228"/>
        <n v="30341"/>
        <n v="36891"/>
        <n v="32446"/>
        <n v="26856"/>
        <n v="23226"/>
        <n v="20075"/>
        <n v="19590"/>
        <n v="17788"/>
        <n v="14421"/>
        <n v="24719"/>
        <n v="1707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64930558" backgroundQuery="1" missingItemsLimit="0" createdVersion="6" refreshedVersion="8" minRefreshableVersion="3" recordCount="39" xr:uid="{41C890A9-F5F5-4548-BF23-FE83B4E8272E}">
  <cacheSource type="external" connectionId="23"/>
  <cacheFields count="3">
    <cacheField name="Sobriety.1" numFmtId="0">
      <sharedItems count="3">
        <s v="HAD BEEN DRINKING"/>
        <s v="HBD, IMPAIRMENT UNKNOWN"/>
        <s v="HBD, NOT UNDER INFLUENCE"/>
      </sharedItems>
    </cacheField>
    <cacheField name="Age_Group_9" numFmtId="0">
      <sharedItems count="13">
        <s v="0-14"/>
        <s v="15-20"/>
        <s v="21-24"/>
        <s v="25-29"/>
        <s v="30-34"/>
        <s v="35-39"/>
        <s v="40-44"/>
        <s v="45-49"/>
        <s v="50-54"/>
        <s v="55-59"/>
        <s v="60-64"/>
        <s v="65 and over"/>
        <s v="Not Stated"/>
      </sharedItems>
    </cacheField>
    <cacheField name="Count" numFmtId="0">
      <sharedItems containsSemiMixedTypes="0" containsString="0" containsNumber="1" containsInteger="1" minValue="4" maxValue="330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66319443" backgroundQuery="1" missingItemsLimit="0" createdVersion="6" refreshedVersion="8" minRefreshableVersion="3" recordCount="13" xr:uid="{AD030CEA-3717-4E09-9A51-27D34ED465DD}">
  <cacheSource type="external" connectionId="22"/>
  <cacheFields count="2">
    <cacheField name="Age_Group_9" numFmtId="0">
      <sharedItems count="13">
        <s v="0-14"/>
        <s v="15-20"/>
        <s v="21-24"/>
        <s v="25-29"/>
        <s v="30-34"/>
        <s v="35-39"/>
        <s v="40-44"/>
        <s v="45-49"/>
        <s v="50-54"/>
        <s v="55-59"/>
        <s v="60-64"/>
        <s v="65 and over"/>
        <s v="Not Stated"/>
      </sharedItems>
    </cacheField>
    <cacheField name="Count" numFmtId="0">
      <sharedItems containsSemiMixedTypes="0" containsString="0" containsNumber="1" containsInteger="1" minValue="11" maxValue="793" count="13">
        <n v="11"/>
        <n v="500"/>
        <n v="650"/>
        <n v="793"/>
        <n v="697"/>
        <n v="610"/>
        <n v="464"/>
        <n v="410"/>
        <n v="501"/>
        <n v="433"/>
        <n v="377"/>
        <n v="589"/>
        <n v="33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67708336" backgroundQuery="1" missingItemsLimit="0" createdVersion="6" refreshedVersion="8" minRefreshableVersion="3" recordCount="666" xr:uid="{635A9026-082C-4350-BC8E-AE4E6AE5BE6D}">
  <cacheSource type="external" connectionId="33"/>
  <cacheFields count="3">
    <cacheField name="County_Name" numFmtId="0">
      <sharedItems count="58">
        <s v="Butte"/>
        <s v="Contra Costa"/>
        <s v="Calaveras"/>
        <s v="Fresno"/>
        <s v="Los Angeles"/>
        <s v="Riverside"/>
        <s v="Merced"/>
        <s v="Orange"/>
        <s v="Alameda"/>
        <s v="Monterey"/>
        <s v="Kern"/>
        <s v="Lake"/>
        <s v="Kings"/>
        <s v="Marin"/>
        <s v="Nevada"/>
        <s v="Lassen"/>
        <s v="Sacramento"/>
        <s v="Napa"/>
        <s v="Amador"/>
        <s v="Mendocino"/>
        <s v="San Diego"/>
        <s v="Imperial"/>
        <s v="Madera"/>
        <s v="Placer"/>
        <s v="San Joaquin"/>
        <s v="San Bernardino"/>
        <s v="Humboldt"/>
        <s v="Santa Clara"/>
        <s v="San Benito"/>
        <s v="Santa Barbara"/>
        <s v="El Dorado"/>
        <s v="Ventura"/>
        <s v="San Luis Obispo"/>
        <s v="San Mateo"/>
        <s v="Siskiyou"/>
        <s v="Tulare"/>
        <s v="Santa Cruz"/>
        <s v="Shasta"/>
        <s v="San Francisco"/>
        <s v="Inyo"/>
        <s v="Sutter"/>
        <s v="Colusa"/>
        <s v="Glenn"/>
        <s v="Solano"/>
        <s v="Sonoma"/>
        <s v="Stanislaus"/>
        <s v="Yolo"/>
        <s v="Yuba"/>
        <s v="Modoc"/>
        <s v="Tehama"/>
        <s v="Sierra"/>
        <s v="Tuolumne"/>
        <s v="Plumas"/>
        <s v="Del Norte"/>
        <s v="Alpine"/>
        <s v="Mono"/>
        <s v="Mariposa"/>
        <s v="Trinity"/>
      </sharedItems>
    </cacheField>
    <cacheField name="Collision_Date" numFmtId="0">
      <sharedItems count="12">
        <s v="March"/>
        <s v="February"/>
        <s v="April"/>
        <s v="May"/>
        <s v="January"/>
        <s v="June"/>
        <s v="August"/>
        <s v="October"/>
        <s v="July"/>
        <s v="September"/>
        <s v="November"/>
        <s v="December"/>
      </sharedItems>
    </cacheField>
    <cacheField name="Injured Victims" numFmtId="0">
      <sharedItems containsSemiMixedTypes="0" containsString="0" containsNumber="1" containsInteger="1" minValue="0" maxValue="66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68287037" backgroundQuery="1" missingItemsLimit="0" createdVersion="6" refreshedVersion="8" minRefreshableVersion="3" recordCount="646" xr:uid="{482167E4-BB36-45BF-B71B-A1252558DC02}">
  <cacheSource type="external" connectionId="32"/>
  <cacheFields count="3">
    <cacheField name="County_Name" numFmtId="0">
      <sharedItems count="58">
        <s v="Contra Costa"/>
        <s v="Butte"/>
        <s v="Alameda"/>
        <s v="Los Angeles"/>
        <s v="Fresno"/>
        <s v="Humboldt"/>
        <s v="Kern"/>
        <s v="Monterey"/>
        <s v="Marin"/>
        <s v="Mendocino"/>
        <s v="Merced"/>
        <s v="Riverside"/>
        <s v="Amador"/>
        <s v="Lassen"/>
        <s v="Orange"/>
        <s v="Kings"/>
        <s v="Lake"/>
        <s v="Napa"/>
        <s v="Calaveras"/>
        <s v="El Dorado"/>
        <s v="Nevada"/>
        <s v="Imperial"/>
        <s v="San Joaquin"/>
        <s v="San Luis Obispo"/>
        <s v="Santa Clara"/>
        <s v="San Bernardino"/>
        <s v="San Diego"/>
        <s v="Sacramento"/>
        <s v="San Mateo"/>
        <s v="Santa Cruz"/>
        <s v="Placer"/>
        <s v="Glenn"/>
        <s v="San Benito"/>
        <s v="Santa Barbara"/>
        <s v="Sonoma"/>
        <s v="Stanislaus"/>
        <s v="Solano"/>
        <s v="Ventura"/>
        <s v="Tulare"/>
        <s v="Shasta"/>
        <s v="Siskiyou"/>
        <s v="San Francisco"/>
        <s v="Modoc"/>
        <s v="Yolo"/>
        <s v="Sutter"/>
        <s v="Madera"/>
        <s v="Yuba"/>
        <s v="Alpine"/>
        <s v="Trinity"/>
        <s v="Plumas"/>
        <s v="Colusa"/>
        <s v="Tehama"/>
        <s v="Mariposa"/>
        <s v="Sierra"/>
        <s v="Del Norte"/>
        <s v="Tuolumne"/>
        <s v="Mono"/>
        <s v="Inyo"/>
      </sharedItems>
    </cacheField>
    <cacheField name="Collision_Date" numFmtId="0">
      <sharedItems count="12">
        <s v="November"/>
        <s v="June"/>
        <s v="July"/>
        <s v="August"/>
        <s v="September"/>
        <s v="October"/>
        <s v="December"/>
        <s v="May"/>
        <s v="February"/>
        <s v="January"/>
        <s v="March"/>
        <s v="April"/>
      </sharedItems>
    </cacheField>
    <cacheField name="Count" numFmtId="0">
      <sharedItems containsSemiMixedTypes="0" containsString="0" containsNumber="1" containsInteger="1" minValue="1" maxValue="45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69212961" backgroundQuery="1" missingItemsLimit="0" createdVersion="6" refreshedVersion="8" minRefreshableVersion="3" recordCount="367" xr:uid="{BF016016-C81E-4D71-9004-6DA2E4C09350}">
  <cacheSource type="external" connectionId="31"/>
  <cacheFields count="3">
    <cacheField name="County_Name" numFmtId="0">
      <sharedItems count="54">
        <s v="Stanislaus"/>
        <s v="Sacramento"/>
        <s v="San Joaquin"/>
        <s v="Kern"/>
        <s v="San Diego"/>
        <s v="Los Angeles"/>
        <s v="Santa Cruz"/>
        <s v="San Bernardino"/>
        <s v="Amador"/>
        <s v="Orange"/>
        <s v="Yolo"/>
        <s v="Contra Costa"/>
        <s v="Madera"/>
        <s v="Imperial"/>
        <s v="Alameda"/>
        <s v="Ventura"/>
        <s v="Modoc"/>
        <s v="Shasta"/>
        <s v="Solano"/>
        <s v="Riverside"/>
        <s v="Placer"/>
        <s v="Sonoma"/>
        <s v="Tehama"/>
        <s v="Santa Clara"/>
        <s v="Colusa"/>
        <s v="Santa Barbara"/>
        <s v="Butte"/>
        <s v="Calaveras"/>
        <s v="Napa"/>
        <s v="San Benito"/>
        <s v="Plumas"/>
        <s v="Tulare"/>
        <s v="Glenn"/>
        <s v="Nevada"/>
        <s v="Marin"/>
        <s v="San Luis Obispo"/>
        <s v="Fresno"/>
        <s v="Mendocino"/>
        <s v="Monterey"/>
        <s v="Lake"/>
        <s v="San Mateo"/>
        <s v="San Francisco"/>
        <s v="Sutter"/>
        <s v="Mono"/>
        <s v="Humboldt"/>
        <s v="Merced"/>
        <s v="Tuolumne"/>
        <s v="Trinity"/>
        <s v="El Dorado"/>
        <s v="Yuba"/>
        <s v="Inyo"/>
        <s v="Siskiyou"/>
        <s v="Lassen"/>
        <s v="Kings"/>
      </sharedItems>
    </cacheField>
    <cacheField name="Collision_Date" numFmtId="0">
      <sharedItems count="12">
        <s v="June"/>
        <s v="April"/>
        <s v="May"/>
        <s v="September"/>
        <s v="August"/>
        <s v="July"/>
        <s v="January"/>
        <s v="March"/>
        <s v="February"/>
        <s v="November"/>
        <s v="December"/>
        <s v="October"/>
      </sharedItems>
    </cacheField>
    <cacheField name="Count" numFmtId="0">
      <sharedItems containsSemiMixedTypes="0" containsString="0" containsNumber="1" containsInteger="1" minValue="1" maxValue="22" count="19">
        <n v="8"/>
        <n v="2"/>
        <n v="9"/>
        <n v="3"/>
        <n v="11"/>
        <n v="4"/>
        <n v="14"/>
        <n v="5"/>
        <n v="7"/>
        <n v="19"/>
        <n v="6"/>
        <n v="22"/>
        <n v="10"/>
        <n v="1"/>
        <n v="13"/>
        <n v="16"/>
        <n v="17"/>
        <n v="12"/>
        <n v="1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69675923" backgroundQuery="1" missingItemsLimit="0" createdVersion="6" refreshedVersion="8" minRefreshableVersion="3" recordCount="367" xr:uid="{D8DEB9ED-C86F-4DB1-941F-C409CD00132D}">
  <cacheSource type="external" connectionId="30"/>
  <cacheFields count="3">
    <cacheField name="County_Name" numFmtId="0">
      <sharedItems count="54">
        <s v="Fresno"/>
        <s v="Alameda"/>
        <s v="Contra Costa"/>
        <s v="Monterey"/>
        <s v="Los Angeles"/>
        <s v="Riverside"/>
        <s v="Orange"/>
        <s v="Amador"/>
        <s v="San Joaquin"/>
        <s v="Butte"/>
        <s v="Calaveras"/>
        <s v="San Bernardino"/>
        <s v="Siskiyou"/>
        <s v="Santa Cruz"/>
        <s v="Tulare"/>
        <s v="San Diego"/>
        <s v="Sutter"/>
        <s v="Santa Clara"/>
        <s v="Nevada"/>
        <s v="El Dorado"/>
        <s v="Yuba"/>
        <s v="Mendocino"/>
        <s v="San Francisco"/>
        <s v="Shasta"/>
        <s v="Solano"/>
        <s v="Sonoma"/>
        <s v="Tehama"/>
        <s v="Humboldt"/>
        <s v="Lake"/>
        <s v="Sacramento"/>
        <s v="Merced"/>
        <s v="Imperial"/>
        <s v="Kern"/>
        <s v="Yolo"/>
        <s v="Inyo"/>
        <s v="Ventura"/>
        <s v="Lassen"/>
        <s v="Kings"/>
        <s v="Stanislaus"/>
        <s v="Tuolumne"/>
        <s v="San Luis Obispo"/>
        <s v="Santa Barbara"/>
        <s v="San Mateo"/>
        <s v="Trinity"/>
        <s v="Placer"/>
        <s v="Madera"/>
        <s v="Plumas"/>
        <s v="Modoc"/>
        <s v="Napa"/>
        <s v="Mono"/>
        <s v="San Benito"/>
        <s v="Colusa"/>
        <s v="Glenn"/>
        <s v="Marin"/>
      </sharedItems>
    </cacheField>
    <cacheField name="Collision_Date" numFmtId="0">
      <sharedItems count="12">
        <s v="May"/>
        <s v="March"/>
        <s v="June"/>
        <s v="July"/>
        <s v="September"/>
        <s v="January"/>
        <s v="February"/>
        <s v="August"/>
        <s v="November"/>
        <s v="December"/>
        <s v="April"/>
        <s v="October"/>
      </sharedItems>
    </cacheField>
    <cacheField name="Count" numFmtId="0">
      <sharedItems containsSemiMixedTypes="0" containsString="0" containsNumber="1" containsInteger="1" minValue="1" maxValue="19" count="17">
        <n v="6"/>
        <n v="3"/>
        <n v="2"/>
        <n v="5"/>
        <n v="1"/>
        <n v="13"/>
        <n v="10"/>
        <n v="8"/>
        <n v="18"/>
        <n v="11"/>
        <n v="17"/>
        <n v="4"/>
        <n v="12"/>
        <n v="9"/>
        <n v="7"/>
        <n v="19"/>
        <n v="1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7025463" backgroundQuery="1" missingItemsLimit="0" createdVersion="6" refreshedVersion="8" minRefreshableVersion="3" recordCount="175" xr:uid="{4AA5AEB6-4767-4001-98CD-F913AF093828}">
  <cacheSource type="external" connectionId="28"/>
  <cacheFields count="4">
    <cacheField name="AM_PM" numFmtId="0">
      <sharedItems count="3">
        <s v="P.M."/>
        <s v="A.M."/>
        <s v="Unknown AM/PM"/>
      </sharedItems>
    </cacheField>
    <cacheField name="Hour_Group_2" numFmtId="0">
      <sharedItems count="25">
        <s v="8:00 - 8:59 P.M."/>
        <s v="Midnight - 12:59 A.M."/>
        <s v="2:00 - 2:59 A.M."/>
        <s v="10:00 - 10:59 P.M."/>
        <s v="Noon - 12:59 P.M."/>
        <s v="11:00 - 11:59 P.M."/>
        <s v="1:00 - 1:59 P.M."/>
        <s v="6:00 - 6:59 P.M."/>
        <s v="2:00 - 2:59 P.M."/>
        <s v="5:00 - 5:59 P.M."/>
        <s v="4:00 - 4:59 P.M."/>
        <s v="7:00 - 7:59 P.M."/>
        <s v="11:00 - 11:59 A.M."/>
        <s v="9:00 - 9:59 P.M."/>
        <s v="3:00 - 3:59 P.M."/>
        <s v="9:00 - 9:59 A.M."/>
        <s v="3:00 - 3:59 A.M."/>
        <s v="1:00 - 1:59 A.M."/>
        <s v="10:00 - 10:59 A.M."/>
        <s v="8:00 - 8:59 A.M."/>
        <s v="5:00 - 5:59 A.M."/>
        <s v="4:00 - 4:59 A.M."/>
        <s v="6:00 - 6:59 A.M."/>
        <s v="7:00 - 7:59 A.M."/>
        <s v="Unknown Hour"/>
      </sharedItems>
    </cacheField>
    <cacheField name="Collision_Date" numFmtId="0">
      <sharedItems count="7">
        <s v="Sunday"/>
        <s v="Thursday"/>
        <s v="Tuesday"/>
        <s v="Friday"/>
        <s v="Monday"/>
        <s v="Saturday"/>
        <s v="Wednesday"/>
      </sharedItems>
    </cacheField>
    <cacheField name="Count" numFmtId="0">
      <sharedItems containsSemiMixedTypes="0" containsString="0" containsNumber="1" containsInteger="1" minValue="1" maxValue="44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93865739" backgroundQuery="1" missingItemsLimit="0" createdVersion="6" refreshedVersion="8" minRefreshableVersion="3" recordCount="7" xr:uid="{8BEFEE2C-2007-4064-AC8D-3764C4C6EDE1}">
  <cacheSource type="external" connectionId="29"/>
  <cacheFields count="2">
    <cacheField name="Collision_Date" numFmtId="0">
      <sharedItems count="7">
        <s v="Sunday"/>
        <s v="Thursday"/>
        <s v="Tuesday"/>
        <s v="Friday"/>
        <s v="Monday"/>
        <s v="Saturday"/>
        <s v="Wednesday"/>
      </sharedItems>
    </cacheField>
    <cacheField name="Count" numFmtId="0">
      <sharedItems containsSemiMixedTypes="0" containsString="0" containsNumber="1" containsInteger="1" minValue="1812" maxValue="4385" count="6">
        <n v="4385"/>
        <n v="2179"/>
        <n v="1812"/>
        <n v="3014"/>
        <n v="4121"/>
        <n v="209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94560185" backgroundQuery="1" missingItemsLimit="0" createdVersion="6" refreshedVersion="8" minRefreshableVersion="3" recordCount="236" xr:uid="{9465D749-B8A9-4631-A889-8FA61AE44D3E}">
  <cacheSource type="external" connectionId="25"/>
  <cacheFields count="4">
    <cacheField name="Severity_Group_1" numFmtId="0">
      <sharedItems count="2">
        <s v="Fatal"/>
        <s v="Injury"/>
      </sharedItems>
    </cacheField>
    <cacheField name="Sex" numFmtId="0">
      <sharedItems count="4">
        <s v="Female"/>
        <s v="Male"/>
        <s v="Not Stated"/>
        <s v="Nonbinary"/>
      </sharedItems>
    </cacheField>
    <cacheField name="Age_Group_3" numFmtId="0">
      <sharedItems count="54">
        <s v="17"/>
        <s v="29"/>
        <s v="42"/>
        <s v="48"/>
        <s v="59"/>
        <s v="24"/>
        <s v="34"/>
        <s v="45"/>
        <s v="54"/>
        <s v="Not Stated"/>
        <s v="22"/>
        <s v="36"/>
        <s v="52"/>
        <s v="85-89"/>
        <s v="21"/>
        <s v="37"/>
        <s v="57"/>
        <s v="20"/>
        <s v="39"/>
        <s v="49"/>
        <s v="58"/>
        <s v="60-64"/>
        <s v="75-79"/>
        <s v="19"/>
        <s v="23"/>
        <s v="35"/>
        <s v="40"/>
        <s v="51"/>
        <s v="15"/>
        <s v="44"/>
        <s v="55"/>
        <s v="32"/>
        <s v="43"/>
        <s v="56"/>
        <s v="27"/>
        <s v="31"/>
        <s v="47"/>
        <s v="70-74"/>
        <s v="0-14"/>
        <s v="80-84"/>
        <s v="90 and over"/>
        <s v="18"/>
        <s v="28"/>
        <s v="30"/>
        <s v="41"/>
        <s v="50"/>
        <s v="38"/>
        <s v="16"/>
        <s v="26"/>
        <s v="25"/>
        <s v="33"/>
        <s v="46"/>
        <s v="53"/>
        <s v="65-69"/>
      </sharedItems>
    </cacheField>
    <cacheField name="Count" numFmtId="0">
      <sharedItems containsSemiMixedTypes="0" containsString="0" containsNumber="1" containsInteger="1" minValue="1" maxValue="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95138886" backgroundQuery="1" missingItemsLimit="0" createdVersion="6" refreshedVersion="8" minRefreshableVersion="3" recordCount="35" xr:uid="{E84C2C73-8C3F-4E9E-A4BF-3828C8D4C0F2}">
  <cacheSource type="external" connectionId="19"/>
  <cacheFields count="5">
    <cacheField name="DW Severity.Severity_Group_1" numFmtId="0">
      <sharedItems count="2">
        <s v="Fatal"/>
        <s v="Injury"/>
      </sharedItems>
    </cacheField>
    <cacheField name="DW Party_Type.Party_Type_2" numFmtId="0">
      <sharedItems count="2">
        <s v="PEDESTRIAN AND BICYCLIST"/>
        <s v="MOTOR VEHICLE DRIVER"/>
      </sharedItems>
    </cacheField>
    <cacheField name="DW Sobriety.Sobriety" numFmtId="0">
      <sharedItems count="3">
        <s v="HAD BEEN DRINKING"/>
        <s v="HBD, IMPAIRMENT UNKNOWN"/>
        <s v="HBD, NOT UNDER INFLUENCE"/>
      </sharedItems>
    </cacheField>
    <cacheField name="Sex" numFmtId="0">
      <sharedItems count="4">
        <s v="Female"/>
        <s v="Not Stated"/>
        <s v="Male"/>
        <s v="Nonbinary"/>
      </sharedItems>
    </cacheField>
    <cacheField name="Count" numFmtId="0">
      <sharedItems containsSemiMixedTypes="0" containsString="0" containsNumber="1" containsInteger="1" minValue="1" maxValue="1091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96296294" backgroundQuery="1" missingItemsLimit="0" createdVersion="6" refreshedVersion="8" minRefreshableVersion="3" recordCount="15" xr:uid="{003AE6D7-5B70-45D3-B6C5-C37AC2D401E3}">
  <cacheSource type="external" connectionId="20"/>
  <cacheFields count="4">
    <cacheField name="Party_Type_2" numFmtId="0">
      <sharedItems count="2">
        <s v="MOTOR VEHICLE DRIVER"/>
        <s v="PEDESTRIAN AND BICYCLIST"/>
      </sharedItems>
    </cacheField>
    <cacheField name="Sex" numFmtId="0">
      <sharedItems count="4">
        <s v="Female"/>
        <s v="Male"/>
        <s v="Nonbinary"/>
        <s v="Not Stated"/>
      </sharedItems>
    </cacheField>
    <cacheField name="Severity_Group_1" numFmtId="0">
      <sharedItems count="2">
        <s v="Fatal"/>
        <s v="Injury"/>
      </sharedItems>
    </cacheField>
    <cacheField name="Count" numFmtId="0">
      <sharedItems containsSemiMixedTypes="0" containsString="0" containsNumber="1" containsInteger="1" minValue="3" maxValue="169558" count="14">
        <n v="1444"/>
        <n v="105409"/>
        <n v="4602"/>
        <n v="169558"/>
        <n v="3"/>
        <n v="159"/>
        <n v="318"/>
        <n v="13892"/>
        <n v="364"/>
        <n v="5369"/>
        <n v="1016"/>
        <n v="12463"/>
        <n v="5"/>
        <n v="29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5797337964" backgroundQuery="1" missingItemsLimit="0" createdVersion="6" refreshedVersion="8" minRefreshableVersion="3" recordCount="145" xr:uid="{11FA8C59-92D0-4A27-9C97-B6E3CEADAC52}">
  <cacheSource type="external" connectionId="18"/>
  <cacheFields count="3">
    <cacheField name="Move_Pre_Collision" numFmtId="0">
      <sharedItems count="20">
        <s v="Changing lanes"/>
        <s v="Making U turn"/>
        <s v="Passing other vehicle"/>
        <s v="Slowing/stopping"/>
        <s v="Entering traffic"/>
        <s v="Traveling wrong way"/>
        <s v="Backing"/>
        <s v="Crossed into opposing lane"/>
        <s v="Making left turn"/>
        <s v="Other"/>
        <s v="Ran off road"/>
        <s v="Not stated"/>
        <s v="Merging"/>
        <s v="Other unsafe turning"/>
        <s v="Parking maneuver"/>
        <s v="Stopped"/>
        <s v="Making right turn"/>
        <s v="Parked"/>
        <s v="Lane splitting"/>
        <s v="Proceeding straight"/>
      </sharedItems>
    </cacheField>
    <cacheField name="Collision_Type_2" numFmtId="0">
      <sharedItems count="8">
        <s v="Broadside"/>
        <s v="Head-On"/>
        <s v="Other"/>
        <s v="Overturned"/>
        <s v="Rear End"/>
        <s v="Sideswipe"/>
        <s v="Auto/ Pedestrian"/>
        <s v="Hit Object"/>
      </sharedItems>
    </cacheField>
    <cacheField name="Count" numFmtId="0">
      <sharedItems containsSemiMixedTypes="0" containsString="0" containsNumber="1" containsInteger="1" minValue="1" maxValue="43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652615741" backgroundQuery="1" missingItemsLimit="0" createdVersion="6" refreshedVersion="8" minRefreshableVersion="3" recordCount="162" xr:uid="{08F2825D-3197-412F-A9AB-C6CF8E526615}">
  <cacheSource type="external" connectionId="26"/>
  <cacheFields count="4">
    <cacheField name="AM_PM" numFmtId="0">
      <sharedItems count="3">
        <s v="P.M."/>
        <s v="A.M."/>
        <s v="Unknown AM/PM"/>
      </sharedItems>
    </cacheField>
    <cacheField name="Hour_Group_2" numFmtId="0">
      <sharedItems count="25">
        <s v="7:00 - 7:59 P.M."/>
        <s v="Midnight - 12:59 A.M."/>
        <s v="2:00 - 2:59 A.M."/>
        <s v="3:00 - 3:59 P.M."/>
        <s v="Noon - 12:59 P.M."/>
        <s v="4:00 - 4:59 A.M."/>
        <s v="1:00 - 1:59 A.M."/>
        <s v="9:00 - 9:59 A.M."/>
        <s v="5:00 - 5:59 A.M."/>
        <s v="2:00 - 2:59 P.M."/>
        <s v="6:00 - 6:59 P.M."/>
        <s v="10:00 - 10:59 A.M."/>
        <s v="4:00 - 4:59 P.M."/>
        <s v="6:00 - 6:59 A.M."/>
        <s v="1:00 - 1:59 P.M."/>
        <s v="8:00 - 8:59 A.M."/>
        <s v="7:00 - 7:59 A.M."/>
        <s v="5:00 - 5:59 P.M."/>
        <s v="3:00 - 3:59 A.M."/>
        <s v="8:00 - 8:59 P.M."/>
        <s v="11:00 - 11:59 A.M."/>
        <s v="9:00 - 9:59 P.M."/>
        <s v="10:00 - 10:59 P.M."/>
        <s v="11:00 - 11:59 P.M."/>
        <s v="Unknown Hour"/>
      </sharedItems>
    </cacheField>
    <cacheField name="Collision_Date" numFmtId="0">
      <sharedItems count="7">
        <s v="Saturday"/>
        <s v="Friday"/>
        <s v="Sunday"/>
        <s v="Wednesday"/>
        <s v="Monday"/>
        <s v="Thursday"/>
        <s v="Tuesday"/>
      </sharedItems>
    </cacheField>
    <cacheField name="Count" numFmtId="0">
      <sharedItems containsSemiMixedTypes="0" containsString="0" containsNumber="1" containsInteger="1" minValue="1" maxValue="36" count="27">
        <n v="17"/>
        <n v="20"/>
        <n v="11"/>
        <n v="9"/>
        <n v="29"/>
        <n v="26"/>
        <n v="7"/>
        <n v="23"/>
        <n v="6"/>
        <n v="4"/>
        <n v="35"/>
        <n v="5"/>
        <n v="14"/>
        <n v="21"/>
        <n v="3"/>
        <n v="2"/>
        <n v="10"/>
        <n v="16"/>
        <n v="1"/>
        <n v="13"/>
        <n v="8"/>
        <n v="12"/>
        <n v="18"/>
        <n v="15"/>
        <n v="25"/>
        <n v="36"/>
        <n v="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652685185" backgroundQuery="1" missingItemsLimit="0" createdVersion="6" refreshedVersion="8" minRefreshableVersion="3" recordCount="120" xr:uid="{AF4DB5EE-552E-4697-8F38-5C7A86CEB6AD}">
  <cacheSource type="external" connectionId="13"/>
  <cacheFields count="4">
    <cacheField name="Collision_Year" numFmtId="0">
      <sharedItems containsSemiMixedTypes="0" containsString="0" containsNumber="1" containsInteger="1" minValue="2017" maxValue="2021" count="5">
        <n v="2017"/>
        <n v="2019"/>
        <n v="2018"/>
        <n v="2021"/>
        <n v="2020"/>
      </sharedItems>
    </cacheField>
    <cacheField name="Collision_Date" numFmtId="0">
      <sharedItems count="12">
        <s v="January"/>
        <s v="February"/>
        <s v="July"/>
        <s v="April"/>
        <s v="June"/>
        <s v="August"/>
        <s v="September"/>
        <s v="November"/>
        <s v="December"/>
        <s v="May"/>
        <s v="October"/>
        <s v="March"/>
      </sharedItems>
    </cacheField>
    <cacheField name="Severity_Group_1" numFmtId="0">
      <sharedItems count="2">
        <s v="Injury"/>
        <s v="Fatal"/>
      </sharedItems>
    </cacheField>
    <cacheField name="Count" numFmtId="0">
      <sharedItems containsSemiMixedTypes="0" containsString="0" containsNumber="1" containsInteger="1" minValue="52" maxValue="197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6527083334" backgroundQuery="1" missingItemsLimit="0" createdVersion="6" refreshedVersion="8" minRefreshableVersion="3" recordCount="60" xr:uid="{635D4445-F7B1-48DE-A025-071C22446834}">
  <cacheSource type="external" connectionId="14"/>
  <cacheFields count="4">
    <cacheField name="Collision_Year" numFmtId="0">
      <sharedItems containsSemiMixedTypes="0" containsString="0" containsNumber="1" containsInteger="1" minValue="2017" maxValue="2021" count="5">
        <n v="2017"/>
        <n v="2019"/>
        <n v="2018"/>
        <n v="2020"/>
        <n v="2021"/>
      </sharedItems>
    </cacheField>
    <cacheField name="Collision_Date" numFmtId="0">
      <sharedItems count="12">
        <s v="January"/>
        <s v="September"/>
        <s v="August"/>
        <s v="July"/>
        <s v="December"/>
        <s v="March"/>
        <s v="February"/>
        <s v="May"/>
        <s v="June"/>
        <s v="April"/>
        <s v="October"/>
        <s v="November"/>
      </sharedItems>
    </cacheField>
    <cacheField name="Killed" numFmtId="0">
      <sharedItems containsSemiMixedTypes="0" containsString="0" containsNumber="1" containsInteger="1" minValue="59" maxValue="139"/>
    </cacheField>
    <cacheField name="Injured" numFmtId="0">
      <sharedItems containsSemiMixedTypes="0" containsString="0" containsNumber="1" containsInteger="1" minValue="1310" maxValue="285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6527546296" backgroundQuery="1" missingItemsLimit="0" createdVersion="6" refreshedVersion="8" minRefreshableVersion="3" recordCount="565" xr:uid="{16D6A8E5-80C5-404A-A138-D12573A7759F}">
  <cacheSource type="external" connectionId="15"/>
  <cacheFields count="4">
    <cacheField name="Collision_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Severity_Group_1" numFmtId="0">
      <sharedItems count="2">
        <s v="Fatal"/>
        <s v="Injury"/>
      </sharedItems>
    </cacheField>
    <cacheField name="County_Name" numFmtId="0">
      <sharedItems count="58">
        <s v="Amador"/>
        <s v="Sacramento"/>
        <s v="San Mateo"/>
        <s v="Calaveras"/>
        <s v="Del Norte"/>
        <s v="El Dorado"/>
        <s v="Kings"/>
        <s v="Lassen"/>
        <s v="Solano"/>
        <s v="Kern"/>
        <s v="Merced"/>
        <s v="Napa"/>
        <s v="Riverside"/>
        <s v="Sutter"/>
        <s v="Siskiyou"/>
        <s v="Fresno"/>
        <s v="Marin"/>
        <s v="San Luis Obispo"/>
        <s v="Tehama"/>
        <s v="Yuba"/>
        <s v="Placer"/>
        <s v="San Diego"/>
        <s v="Santa Barbara"/>
        <s v="Ventura"/>
        <s v="Yolo"/>
        <s v="Butte"/>
        <s v="Mendocino"/>
        <s v="Monterey"/>
        <s v="Orange"/>
        <s v="Santa Cruz"/>
        <s v="Colusa"/>
        <s v="Glenn"/>
        <s v="Mono"/>
        <s v="Shasta"/>
        <s v="Los Angeles"/>
        <s v="Alameda"/>
        <s v="Alpine"/>
        <s v="Imperial"/>
        <s v="Nevada"/>
        <s v="San Francisco"/>
        <s v="Sierra"/>
        <s v="San Joaquin"/>
        <s v="Humboldt"/>
        <s v="San Bernardino"/>
        <s v="Sonoma"/>
        <s v="Stanislaus"/>
        <s v="Contra Costa"/>
        <s v="Mariposa"/>
        <s v="Plumas"/>
        <s v="Santa Clara"/>
        <s v="Tuolumne"/>
        <s v="Lake"/>
        <s v="San Benito"/>
        <s v="Trinity"/>
        <s v="Inyo"/>
        <s v="Madera"/>
        <s v="Tulare"/>
        <s v="Modoc"/>
      </sharedItems>
    </cacheField>
    <cacheField name="Count" numFmtId="0">
      <sharedItems containsSemiMixedTypes="0" containsString="0" containsNumber="1" containsInteger="1" minValue="1" maxValue="48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66528009258" backgroundQuery="1" missingItemsLimit="0" createdVersion="6" refreshedVersion="8" minRefreshableVersion="3" recordCount="290" xr:uid="{7F156A01-0233-47A5-BA1B-1D9AFE3FE36B}">
  <cacheSource type="external" connectionId="16"/>
  <cacheFields count="4">
    <cacheField name="Collision_Year" numFmtId="0">
      <sharedItems containsSemiMixedTypes="0" containsString="0" containsNumber="1" containsInteger="1" minValue="2017" maxValue="2021" count="5">
        <n v="2019"/>
        <n v="2017"/>
        <n v="2020"/>
        <n v="2018"/>
        <n v="2021"/>
      </sharedItems>
    </cacheField>
    <cacheField name="County_Name" numFmtId="0">
      <sharedItems count="58">
        <s v="Alpine"/>
        <s v="El Dorado"/>
        <s v="Fresno"/>
        <s v="Inyo"/>
        <s v="Lake"/>
        <s v="Modoc"/>
        <s v="Mono"/>
        <s v="Monterey"/>
        <s v="Nevada"/>
        <s v="Orange"/>
        <s v="Sacramento"/>
        <s v="San Joaquin"/>
        <s v="San Mateo"/>
        <s v="Santa Clara"/>
        <s v="Siskiyou"/>
        <s v="Sonoma"/>
        <s v="Sutter"/>
        <s v="Ventura"/>
        <s v="Yolo"/>
        <s v="Yuba"/>
        <s v="Alameda"/>
        <s v="Colusa"/>
        <s v="Glenn"/>
        <s v="Humboldt"/>
        <s v="Kings"/>
        <s v="Lassen"/>
        <s v="Madera"/>
        <s v="Marin"/>
        <s v="Mendocino"/>
        <s v="Napa"/>
        <s v="Placer"/>
        <s v="Riverside"/>
        <s v="San Benito"/>
        <s v="San Bernardino"/>
        <s v="San Diego"/>
        <s v="San Francisco"/>
        <s v="Santa Barbara"/>
        <s v="Santa Cruz"/>
        <s v="Solano"/>
        <s v="Stanislaus"/>
        <s v="Trinity"/>
        <s v="Tulare"/>
        <s v="Tuolumne"/>
        <s v="Butte"/>
        <s v="Calaveras"/>
        <s v="Kern"/>
        <s v="Mariposa"/>
        <s v="Merced"/>
        <s v="Plumas"/>
        <s v="Sierra"/>
        <s v="Amador"/>
        <s v="Contra Costa"/>
        <s v="Del Norte"/>
        <s v="Imperial"/>
        <s v="Los Angeles"/>
        <s v="San Luis Obispo"/>
        <s v="Shasta"/>
        <s v="Tehama"/>
      </sharedItems>
    </cacheField>
    <cacheField name="Killed" numFmtId="0">
      <sharedItems containsSemiMixedTypes="0" containsString="0" containsNumber="1" containsInteger="1" minValue="0" maxValue="240"/>
    </cacheField>
    <cacheField name="Injured" numFmtId="0">
      <sharedItems containsSemiMixedTypes="0" containsString="0" containsNumber="1" containsInteger="1" minValue="1" maxValue="714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225.457539120369" backgroundQuery="1" missingItemsLimit="0" createdVersion="6" refreshedVersion="8" minRefreshableVersion="3" recordCount="36" xr:uid="{849DACF2-C610-4F46-918A-F13974A08718}">
  <cacheSource type="external" connectionId="21"/>
  <cacheFields count="3">
    <cacheField name="Sobriety.1" numFmtId="0">
      <sharedItems count="3">
        <s v="HAD BEEN DRINKING"/>
        <s v="HBD, IMPAIRMENT UNKNOWN"/>
        <s v="HBD, NOT UNDER INFLUENCE"/>
      </sharedItems>
    </cacheField>
    <cacheField name="Age_Group_9" numFmtId="0">
      <sharedItems count="13">
        <s v="0-14"/>
        <s v="15-20"/>
        <s v="21-24"/>
        <s v="25-29"/>
        <s v="30-34"/>
        <s v="35-39"/>
        <s v="40-44"/>
        <s v="45-49"/>
        <s v="50-54"/>
        <s v="55-59"/>
        <s v="60-64"/>
        <s v="65 and over"/>
        <s v="Not Stated"/>
      </sharedItems>
    </cacheField>
    <cacheField name="Count" numFmtId="0">
      <sharedItems containsSemiMixedTypes="0" containsString="0" containsNumber="1" containsInteger="1" minValue="1" maxValue="170" count="25">
        <n v="1"/>
        <n v="62"/>
        <n v="11"/>
        <n v="6"/>
        <n v="145"/>
        <n v="12"/>
        <n v="170"/>
        <n v="26"/>
        <n v="17"/>
        <n v="137"/>
        <n v="9"/>
        <n v="97"/>
        <n v="13"/>
        <n v="67"/>
        <n v="7"/>
        <n v="43"/>
        <n v="8"/>
        <n v="3"/>
        <n v="44"/>
        <n v="14"/>
        <n v="40"/>
        <n v="10"/>
        <n v="5"/>
        <n v="15"/>
        <n v="2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68.596895601855" backgroundQuery="1" missingItemsLimit="0" createdVersion="6" refreshedVersion="8" minRefreshableVersion="3" recordCount="81" xr:uid="{505CB808-C980-4F02-AB1A-EB2F6C6DD36B}">
  <cacheSource type="external" connectionId="17"/>
  <cacheFields count="4">
    <cacheField name="Collision_Year" numFmtId="0">
      <sharedItems containsSemiMixedTypes="0" containsString="0" containsNumber="1" containsInteger="1" minValue="2017" maxValue="2021" count="5">
        <n v="2017"/>
        <n v="2019"/>
        <n v="2021"/>
        <n v="2018"/>
        <n v="2020"/>
      </sharedItems>
    </cacheField>
    <cacheField name="Victim_att" numFmtId="0">
      <sharedItems count="9">
        <s v="HBD Driver"/>
        <s v="Passenger in HBD Driver's Vehicle"/>
        <s v="HBD Bicyclist"/>
        <s v="HNBD Bicyclist"/>
        <s v="Passenger in HNBD Driver's Vehicle"/>
        <s v="HBD Pedestrian"/>
        <s v="HNBD Driver"/>
        <s v="HNBD Pedestrian"/>
        <s v="Other"/>
      </sharedItems>
    </cacheField>
    <cacheField name="Severity_Group_2" numFmtId="0">
      <sharedItems count="2">
        <s v="Killed"/>
        <s v="Injured"/>
      </sharedItems>
    </cacheField>
    <cacheField name="Count" numFmtId="0">
      <sharedItems containsSemiMixedTypes="0" containsString="0" containsNumber="1" containsInteger="1" minValue="2" maxValue="1346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9.45218148148" backgroundQuery="1" missingItemsLimit="0" createdVersion="6" refreshedVersion="8" minRefreshableVersion="3" recordCount="116" xr:uid="{6411B84A-1756-405E-8251-90DE4EE7CD62}">
  <cacheSource type="external" connectionId="34"/>
  <cacheFields count="9">
    <cacheField name="Age_Group_5" numFmtId="0">
      <sharedItems count="58">
        <s v="11"/>
        <s v="48"/>
        <s v="59"/>
        <s v="10"/>
        <s v="20"/>
        <s v="49"/>
        <s v="13"/>
        <s v="25"/>
        <s v="36"/>
        <s v="43"/>
        <s v="46"/>
        <s v="52"/>
        <s v="55"/>
        <s v="6"/>
        <s v="8"/>
        <s v="9"/>
        <s v="Not stated"/>
        <s v="14"/>
        <s v="16"/>
        <s v="19"/>
        <s v="23"/>
        <s v="24"/>
        <s v="26"/>
        <s v="32"/>
        <s v="34"/>
        <s v="35"/>
        <s v="40"/>
        <s v="45"/>
        <s v="51"/>
        <s v="54"/>
        <s v="60 and over"/>
        <s v="18"/>
        <s v="27"/>
        <s v="28"/>
        <s v="41"/>
        <s v="47"/>
        <s v="21"/>
        <s v="57"/>
        <s v="30"/>
        <s v="33"/>
        <s v="5"/>
        <s v="53"/>
        <s v="56"/>
        <s v="12"/>
        <s v="15"/>
        <s v="17"/>
        <s v="22"/>
        <s v="29"/>
        <s v="42"/>
        <s v="44"/>
        <s v="38"/>
        <s v="39"/>
        <s v="58"/>
        <s v="7"/>
        <s v="0-4"/>
        <s v="31"/>
        <s v="37"/>
        <s v="50"/>
      </sharedItems>
    </cacheField>
    <cacheField name="Severity_Group_2" numFmtId="0">
      <sharedItems count="2">
        <s v="Injured"/>
        <s v="Killed"/>
      </sharedItems>
    </cacheField>
    <cacheField name="Driver Count SUM" numFmtId="0">
      <sharedItems containsSemiMixedTypes="0" containsString="0" containsNumber="1" containsInteger="1" minValue="0" maxValue="1621"/>
    </cacheField>
    <cacheField name="Passenger Count SUM" numFmtId="0">
      <sharedItems containsSemiMixedTypes="0" containsString="0" containsNumber="1" containsInteger="1" minValue="0" maxValue="504"/>
    </cacheField>
    <cacheField name="Pedestrian Count SUM" numFmtId="0">
      <sharedItems containsSemiMixedTypes="0" containsString="0" containsNumber="1" containsInteger="1" minValue="0" maxValue="170"/>
    </cacheField>
    <cacheField name="Bicyclist Count SUM" numFmtId="0">
      <sharedItems containsSemiMixedTypes="0" containsString="0" containsNumber="1" containsInteger="1" minValue="0" maxValue="61" count="17">
        <n v="5"/>
        <n v="6"/>
        <n v="8"/>
        <n v="0"/>
        <n v="1"/>
        <n v="4"/>
        <n v="11"/>
        <n v="2"/>
        <n v="9"/>
        <n v="12"/>
        <n v="10"/>
        <n v="13"/>
        <n v="7"/>
        <n v="61"/>
        <n v="14"/>
        <n v="3"/>
        <n v="18"/>
      </sharedItems>
    </cacheField>
    <cacheField name="Motorcyclist Count SUM*" numFmtId="0">
      <sharedItems containsSemiMixedTypes="0" containsString="0" containsNumber="1" containsInteger="1" minValue="0" maxValue="84"/>
    </cacheField>
    <cacheField name="Other Count SUM" numFmtId="0">
      <sharedItems containsSemiMixedTypes="0" containsString="0" containsNumber="1" containsInteger="1" minValue="0" maxValue="17" count="11">
        <n v="0"/>
        <n v="3"/>
        <n v="1"/>
        <n v="4"/>
        <n v="5"/>
        <n v="7"/>
        <n v="2"/>
        <n v="11"/>
        <n v="6"/>
        <n v="17"/>
        <n v="9"/>
      </sharedItems>
    </cacheField>
    <cacheField name="Operator Count SUM" numFmtId="0">
      <sharedItems containsSemiMixedTypes="0" containsString="0" containsNumber="1" containsInteger="1" minValue="0" maxValue="1" count="2">
        <n v="0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  <r>
    <x v="7"/>
    <x v="7"/>
  </r>
  <r>
    <x v="8"/>
    <x v="8"/>
  </r>
  <r>
    <x v="9"/>
    <x v="9"/>
  </r>
  <r>
    <x v="10"/>
    <x v="10"/>
  </r>
  <r>
    <x v="11"/>
    <x v="11"/>
  </r>
  <r>
    <x v="12"/>
    <x v="12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9">
  <r>
    <x v="0"/>
    <x v="0"/>
    <n v="13"/>
  </r>
  <r>
    <x v="1"/>
    <x v="0"/>
    <n v="4"/>
  </r>
  <r>
    <x v="2"/>
    <x v="0"/>
    <n v="7"/>
  </r>
  <r>
    <x v="0"/>
    <x v="1"/>
    <n v="966"/>
  </r>
  <r>
    <x v="1"/>
    <x v="1"/>
    <n v="78"/>
  </r>
  <r>
    <x v="2"/>
    <x v="1"/>
    <n v="264"/>
  </r>
  <r>
    <x v="0"/>
    <x v="2"/>
    <n v="2588"/>
  </r>
  <r>
    <x v="1"/>
    <x v="2"/>
    <n v="132"/>
  </r>
  <r>
    <x v="2"/>
    <x v="2"/>
    <n v="388"/>
  </r>
  <r>
    <x v="0"/>
    <x v="3"/>
    <n v="3304"/>
  </r>
  <r>
    <x v="1"/>
    <x v="3"/>
    <n v="211"/>
  </r>
  <r>
    <x v="2"/>
    <x v="3"/>
    <n v="506"/>
  </r>
  <r>
    <x v="0"/>
    <x v="4"/>
    <n v="2333"/>
  </r>
  <r>
    <x v="1"/>
    <x v="4"/>
    <n v="141"/>
  </r>
  <r>
    <x v="2"/>
    <x v="4"/>
    <n v="359"/>
  </r>
  <r>
    <x v="0"/>
    <x v="5"/>
    <n v="1567"/>
  </r>
  <r>
    <x v="1"/>
    <x v="5"/>
    <n v="103"/>
  </r>
  <r>
    <x v="2"/>
    <x v="5"/>
    <n v="294"/>
  </r>
  <r>
    <x v="0"/>
    <x v="6"/>
    <n v="1151"/>
  </r>
  <r>
    <x v="1"/>
    <x v="6"/>
    <n v="93"/>
  </r>
  <r>
    <x v="2"/>
    <x v="6"/>
    <n v="254"/>
  </r>
  <r>
    <x v="0"/>
    <x v="7"/>
    <n v="808"/>
  </r>
  <r>
    <x v="1"/>
    <x v="7"/>
    <n v="49"/>
  </r>
  <r>
    <x v="2"/>
    <x v="7"/>
    <n v="184"/>
  </r>
  <r>
    <x v="0"/>
    <x v="8"/>
    <n v="707"/>
  </r>
  <r>
    <x v="1"/>
    <x v="8"/>
    <n v="49"/>
  </r>
  <r>
    <x v="2"/>
    <x v="8"/>
    <n v="181"/>
  </r>
  <r>
    <x v="0"/>
    <x v="9"/>
    <n v="578"/>
  </r>
  <r>
    <x v="1"/>
    <x v="9"/>
    <n v="41"/>
  </r>
  <r>
    <x v="2"/>
    <x v="9"/>
    <n v="181"/>
  </r>
  <r>
    <x v="0"/>
    <x v="10"/>
    <n v="399"/>
  </r>
  <r>
    <x v="1"/>
    <x v="10"/>
    <n v="29"/>
  </r>
  <r>
    <x v="2"/>
    <x v="10"/>
    <n v="146"/>
  </r>
  <r>
    <x v="0"/>
    <x v="11"/>
    <n v="406"/>
  </r>
  <r>
    <x v="1"/>
    <x v="11"/>
    <n v="50"/>
  </r>
  <r>
    <x v="2"/>
    <x v="11"/>
    <n v="224"/>
  </r>
  <r>
    <x v="0"/>
    <x v="12"/>
    <n v="43"/>
  </r>
  <r>
    <x v="1"/>
    <x v="12"/>
    <n v="880"/>
  </r>
  <r>
    <x v="2"/>
    <x v="12"/>
    <n v="25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  <r>
    <x v="7"/>
    <x v="7"/>
  </r>
  <r>
    <x v="8"/>
    <x v="8"/>
  </r>
  <r>
    <x v="9"/>
    <x v="9"/>
  </r>
  <r>
    <x v="10"/>
    <x v="10"/>
  </r>
  <r>
    <x v="11"/>
    <x v="11"/>
  </r>
  <r>
    <x v="12"/>
    <x v="12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6">
  <r>
    <x v="0"/>
    <x v="0"/>
    <n v="12"/>
  </r>
  <r>
    <x v="1"/>
    <x v="1"/>
    <n v="38"/>
  </r>
  <r>
    <x v="1"/>
    <x v="0"/>
    <n v="34"/>
  </r>
  <r>
    <x v="0"/>
    <x v="2"/>
    <n v="23"/>
  </r>
  <r>
    <x v="0"/>
    <x v="3"/>
    <n v="20"/>
  </r>
  <r>
    <x v="0"/>
    <x v="4"/>
    <n v="8"/>
  </r>
  <r>
    <x v="1"/>
    <x v="2"/>
    <n v="48"/>
  </r>
  <r>
    <x v="0"/>
    <x v="5"/>
    <n v="19"/>
  </r>
  <r>
    <x v="0"/>
    <x v="6"/>
    <n v="23"/>
  </r>
  <r>
    <x v="1"/>
    <x v="7"/>
    <n v="61"/>
  </r>
  <r>
    <x v="2"/>
    <x v="8"/>
    <n v="14"/>
  </r>
  <r>
    <x v="2"/>
    <x v="0"/>
    <n v="4"/>
  </r>
  <r>
    <x v="1"/>
    <x v="8"/>
    <n v="54"/>
  </r>
  <r>
    <x v="1"/>
    <x v="6"/>
    <n v="37"/>
  </r>
  <r>
    <x v="0"/>
    <x v="7"/>
    <n v="22"/>
  </r>
  <r>
    <x v="0"/>
    <x v="9"/>
    <n v="7"/>
  </r>
  <r>
    <x v="1"/>
    <x v="9"/>
    <n v="54"/>
  </r>
  <r>
    <x v="1"/>
    <x v="10"/>
    <n v="67"/>
  </r>
  <r>
    <x v="2"/>
    <x v="10"/>
    <n v="5"/>
  </r>
  <r>
    <x v="1"/>
    <x v="11"/>
    <n v="56"/>
  </r>
  <r>
    <x v="0"/>
    <x v="11"/>
    <n v="17"/>
  </r>
  <r>
    <x v="3"/>
    <x v="3"/>
    <n v="86"/>
  </r>
  <r>
    <x v="3"/>
    <x v="2"/>
    <n v="46"/>
  </r>
  <r>
    <x v="3"/>
    <x v="5"/>
    <n v="64"/>
  </r>
  <r>
    <x v="3"/>
    <x v="0"/>
    <n v="62"/>
  </r>
  <r>
    <x v="3"/>
    <x v="1"/>
    <n v="28"/>
  </r>
  <r>
    <x v="3"/>
    <x v="8"/>
    <n v="54"/>
  </r>
  <r>
    <x v="3"/>
    <x v="6"/>
    <n v="84"/>
  </r>
  <r>
    <x v="4"/>
    <x v="0"/>
    <n v="526"/>
  </r>
  <r>
    <x v="4"/>
    <x v="3"/>
    <n v="604"/>
  </r>
  <r>
    <x v="4"/>
    <x v="2"/>
    <n v="543"/>
  </r>
  <r>
    <x v="4"/>
    <x v="1"/>
    <n v="422"/>
  </r>
  <r>
    <x v="4"/>
    <x v="5"/>
    <n v="574"/>
  </r>
  <r>
    <x v="4"/>
    <x v="8"/>
    <n v="628"/>
  </r>
  <r>
    <x v="4"/>
    <x v="6"/>
    <n v="616"/>
  </r>
  <r>
    <x v="4"/>
    <x v="7"/>
    <n v="660"/>
  </r>
  <r>
    <x v="4"/>
    <x v="9"/>
    <n v="560"/>
  </r>
  <r>
    <x v="4"/>
    <x v="4"/>
    <n v="395"/>
  </r>
  <r>
    <x v="5"/>
    <x v="8"/>
    <n v="168"/>
  </r>
  <r>
    <x v="5"/>
    <x v="6"/>
    <n v="195"/>
  </r>
  <r>
    <x v="5"/>
    <x v="0"/>
    <n v="128"/>
  </r>
  <r>
    <x v="4"/>
    <x v="10"/>
    <n v="597"/>
  </r>
  <r>
    <x v="4"/>
    <x v="11"/>
    <n v="577"/>
  </r>
  <r>
    <x v="5"/>
    <x v="1"/>
    <n v="122"/>
  </r>
  <r>
    <x v="5"/>
    <x v="2"/>
    <n v="159"/>
  </r>
  <r>
    <x v="5"/>
    <x v="9"/>
    <n v="151"/>
  </r>
  <r>
    <x v="5"/>
    <x v="7"/>
    <n v="169"/>
  </r>
  <r>
    <x v="1"/>
    <x v="5"/>
    <n v="37"/>
  </r>
  <r>
    <x v="3"/>
    <x v="4"/>
    <n v="54"/>
  </r>
  <r>
    <x v="3"/>
    <x v="9"/>
    <n v="68"/>
  </r>
  <r>
    <x v="3"/>
    <x v="7"/>
    <n v="85"/>
  </r>
  <r>
    <x v="3"/>
    <x v="10"/>
    <n v="50"/>
  </r>
  <r>
    <x v="3"/>
    <x v="11"/>
    <n v="49"/>
  </r>
  <r>
    <x v="5"/>
    <x v="5"/>
    <n v="176"/>
  </r>
  <r>
    <x v="6"/>
    <x v="3"/>
    <n v="29"/>
  </r>
  <r>
    <x v="6"/>
    <x v="5"/>
    <n v="28"/>
  </r>
  <r>
    <x v="5"/>
    <x v="4"/>
    <n v="115"/>
  </r>
  <r>
    <x v="6"/>
    <x v="8"/>
    <n v="23"/>
  </r>
  <r>
    <x v="6"/>
    <x v="10"/>
    <n v="10"/>
  </r>
  <r>
    <x v="6"/>
    <x v="6"/>
    <n v="28"/>
  </r>
  <r>
    <x v="6"/>
    <x v="9"/>
    <n v="30"/>
  </r>
  <r>
    <x v="6"/>
    <x v="7"/>
    <n v="33"/>
  </r>
  <r>
    <x v="7"/>
    <x v="9"/>
    <n v="209"/>
  </r>
  <r>
    <x v="7"/>
    <x v="7"/>
    <n v="179"/>
  </r>
  <r>
    <x v="7"/>
    <x v="10"/>
    <n v="130"/>
  </r>
  <r>
    <x v="8"/>
    <x v="11"/>
    <n v="72"/>
  </r>
  <r>
    <x v="8"/>
    <x v="0"/>
    <n v="44"/>
  </r>
  <r>
    <x v="8"/>
    <x v="8"/>
    <n v="86"/>
  </r>
  <r>
    <x v="8"/>
    <x v="2"/>
    <n v="63"/>
  </r>
  <r>
    <x v="8"/>
    <x v="3"/>
    <n v="74"/>
  </r>
  <r>
    <x v="8"/>
    <x v="7"/>
    <n v="108"/>
  </r>
  <r>
    <x v="8"/>
    <x v="9"/>
    <n v="93"/>
  </r>
  <r>
    <x v="8"/>
    <x v="6"/>
    <n v="66"/>
  </r>
  <r>
    <x v="8"/>
    <x v="4"/>
    <n v="42"/>
  </r>
  <r>
    <x v="8"/>
    <x v="10"/>
    <n v="85"/>
  </r>
  <r>
    <x v="8"/>
    <x v="5"/>
    <n v="83"/>
  </r>
  <r>
    <x v="8"/>
    <x v="1"/>
    <n v="51"/>
  </r>
  <r>
    <x v="5"/>
    <x v="3"/>
    <n v="183"/>
  </r>
  <r>
    <x v="7"/>
    <x v="2"/>
    <n v="131"/>
  </r>
  <r>
    <x v="9"/>
    <x v="0"/>
    <n v="34"/>
  </r>
  <r>
    <x v="9"/>
    <x v="1"/>
    <n v="23"/>
  </r>
  <r>
    <x v="9"/>
    <x v="2"/>
    <n v="15"/>
  </r>
  <r>
    <x v="7"/>
    <x v="4"/>
    <n v="115"/>
  </r>
  <r>
    <x v="9"/>
    <x v="3"/>
    <n v="28"/>
  </r>
  <r>
    <x v="9"/>
    <x v="5"/>
    <n v="32"/>
  </r>
  <r>
    <x v="7"/>
    <x v="1"/>
    <n v="125"/>
  </r>
  <r>
    <x v="9"/>
    <x v="6"/>
    <n v="38"/>
  </r>
  <r>
    <x v="9"/>
    <x v="8"/>
    <n v="38"/>
  </r>
  <r>
    <x v="6"/>
    <x v="2"/>
    <n v="27"/>
  </r>
  <r>
    <x v="9"/>
    <x v="10"/>
    <n v="21"/>
  </r>
  <r>
    <x v="10"/>
    <x v="4"/>
    <n v="67"/>
  </r>
  <r>
    <x v="10"/>
    <x v="0"/>
    <n v="82"/>
  </r>
  <r>
    <x v="10"/>
    <x v="2"/>
    <n v="66"/>
  </r>
  <r>
    <x v="10"/>
    <x v="3"/>
    <n v="95"/>
  </r>
  <r>
    <x v="10"/>
    <x v="5"/>
    <n v="45"/>
  </r>
  <r>
    <x v="10"/>
    <x v="8"/>
    <n v="93"/>
  </r>
  <r>
    <x v="10"/>
    <x v="9"/>
    <n v="61"/>
  </r>
  <r>
    <x v="10"/>
    <x v="7"/>
    <n v="94"/>
  </r>
  <r>
    <x v="10"/>
    <x v="10"/>
    <n v="48"/>
  </r>
  <r>
    <x v="10"/>
    <x v="11"/>
    <n v="56"/>
  </r>
  <r>
    <x v="11"/>
    <x v="4"/>
    <n v="6"/>
  </r>
  <r>
    <x v="10"/>
    <x v="1"/>
    <n v="55"/>
  </r>
  <r>
    <x v="10"/>
    <x v="6"/>
    <n v="43"/>
  </r>
  <r>
    <x v="11"/>
    <x v="6"/>
    <n v="16"/>
  </r>
  <r>
    <x v="12"/>
    <x v="4"/>
    <n v="9"/>
  </r>
  <r>
    <x v="12"/>
    <x v="0"/>
    <n v="12"/>
  </r>
  <r>
    <x v="12"/>
    <x v="2"/>
    <n v="8"/>
  </r>
  <r>
    <x v="11"/>
    <x v="3"/>
    <n v="17"/>
  </r>
  <r>
    <x v="12"/>
    <x v="5"/>
    <n v="15"/>
  </r>
  <r>
    <x v="12"/>
    <x v="1"/>
    <n v="10"/>
  </r>
  <r>
    <x v="11"/>
    <x v="5"/>
    <n v="3"/>
  </r>
  <r>
    <x v="11"/>
    <x v="8"/>
    <n v="14"/>
  </r>
  <r>
    <x v="12"/>
    <x v="3"/>
    <n v="10"/>
  </r>
  <r>
    <x v="11"/>
    <x v="9"/>
    <n v="4"/>
  </r>
  <r>
    <x v="11"/>
    <x v="7"/>
    <n v="9"/>
  </r>
  <r>
    <x v="11"/>
    <x v="0"/>
    <n v="7"/>
  </r>
  <r>
    <x v="11"/>
    <x v="1"/>
    <n v="6"/>
  </r>
  <r>
    <x v="11"/>
    <x v="10"/>
    <n v="7"/>
  </r>
  <r>
    <x v="11"/>
    <x v="11"/>
    <n v="7"/>
  </r>
  <r>
    <x v="11"/>
    <x v="2"/>
    <n v="7"/>
  </r>
  <r>
    <x v="12"/>
    <x v="8"/>
    <n v="4"/>
  </r>
  <r>
    <x v="12"/>
    <x v="7"/>
    <n v="25"/>
  </r>
  <r>
    <x v="12"/>
    <x v="10"/>
    <n v="6"/>
  </r>
  <r>
    <x v="12"/>
    <x v="11"/>
    <n v="15"/>
  </r>
  <r>
    <x v="13"/>
    <x v="3"/>
    <n v="9"/>
  </r>
  <r>
    <x v="13"/>
    <x v="6"/>
    <n v="6"/>
  </r>
  <r>
    <x v="13"/>
    <x v="5"/>
    <n v="12"/>
  </r>
  <r>
    <x v="13"/>
    <x v="8"/>
    <n v="12"/>
  </r>
  <r>
    <x v="13"/>
    <x v="9"/>
    <n v="12"/>
  </r>
  <r>
    <x v="13"/>
    <x v="7"/>
    <n v="27"/>
  </r>
  <r>
    <x v="13"/>
    <x v="11"/>
    <n v="6"/>
  </r>
  <r>
    <x v="13"/>
    <x v="10"/>
    <n v="11"/>
  </r>
  <r>
    <x v="14"/>
    <x v="4"/>
    <n v="15"/>
  </r>
  <r>
    <x v="14"/>
    <x v="1"/>
    <n v="4"/>
  </r>
  <r>
    <x v="14"/>
    <x v="0"/>
    <n v="7"/>
  </r>
  <r>
    <x v="14"/>
    <x v="8"/>
    <n v="9"/>
  </r>
  <r>
    <x v="14"/>
    <x v="3"/>
    <n v="8"/>
  </r>
  <r>
    <x v="5"/>
    <x v="10"/>
    <n v="168"/>
  </r>
  <r>
    <x v="1"/>
    <x v="4"/>
    <n v="44"/>
  </r>
  <r>
    <x v="1"/>
    <x v="3"/>
    <n v="50"/>
  </r>
  <r>
    <x v="15"/>
    <x v="3"/>
    <n v="2"/>
  </r>
  <r>
    <x v="15"/>
    <x v="2"/>
    <n v="0"/>
  </r>
  <r>
    <x v="15"/>
    <x v="5"/>
    <n v="2"/>
  </r>
  <r>
    <x v="15"/>
    <x v="1"/>
    <n v="5"/>
  </r>
  <r>
    <x v="15"/>
    <x v="9"/>
    <n v="1"/>
  </r>
  <r>
    <x v="15"/>
    <x v="10"/>
    <n v="2"/>
  </r>
  <r>
    <x v="15"/>
    <x v="11"/>
    <n v="1"/>
  </r>
  <r>
    <x v="5"/>
    <x v="11"/>
    <n v="174"/>
  </r>
  <r>
    <x v="9"/>
    <x v="7"/>
    <n v="32"/>
  </r>
  <r>
    <x v="9"/>
    <x v="11"/>
    <n v="26"/>
  </r>
  <r>
    <x v="6"/>
    <x v="11"/>
    <n v="33"/>
  </r>
  <r>
    <x v="9"/>
    <x v="9"/>
    <n v="50"/>
  </r>
  <r>
    <x v="7"/>
    <x v="5"/>
    <n v="185"/>
  </r>
  <r>
    <x v="7"/>
    <x v="3"/>
    <n v="160"/>
  </r>
  <r>
    <x v="7"/>
    <x v="8"/>
    <n v="177"/>
  </r>
  <r>
    <x v="7"/>
    <x v="6"/>
    <n v="197"/>
  </r>
  <r>
    <x v="7"/>
    <x v="11"/>
    <n v="180"/>
  </r>
  <r>
    <x v="16"/>
    <x v="6"/>
    <n v="122"/>
  </r>
  <r>
    <x v="17"/>
    <x v="4"/>
    <n v="4"/>
  </r>
  <r>
    <x v="17"/>
    <x v="1"/>
    <n v="7"/>
  </r>
  <r>
    <x v="17"/>
    <x v="0"/>
    <n v="5"/>
  </r>
  <r>
    <x v="17"/>
    <x v="3"/>
    <n v="8"/>
  </r>
  <r>
    <x v="17"/>
    <x v="2"/>
    <n v="12"/>
  </r>
  <r>
    <x v="17"/>
    <x v="5"/>
    <n v="24"/>
  </r>
  <r>
    <x v="17"/>
    <x v="8"/>
    <n v="19"/>
  </r>
  <r>
    <x v="17"/>
    <x v="6"/>
    <n v="8"/>
  </r>
  <r>
    <x v="17"/>
    <x v="9"/>
    <n v="5"/>
  </r>
  <r>
    <x v="17"/>
    <x v="7"/>
    <n v="23"/>
  </r>
  <r>
    <x v="17"/>
    <x v="11"/>
    <n v="19"/>
  </r>
  <r>
    <x v="6"/>
    <x v="4"/>
    <n v="27"/>
  </r>
  <r>
    <x v="6"/>
    <x v="0"/>
    <n v="22"/>
  </r>
  <r>
    <x v="6"/>
    <x v="1"/>
    <n v="22"/>
  </r>
  <r>
    <x v="14"/>
    <x v="5"/>
    <n v="7"/>
  </r>
  <r>
    <x v="13"/>
    <x v="4"/>
    <n v="7"/>
  </r>
  <r>
    <x v="9"/>
    <x v="4"/>
    <n v="11"/>
  </r>
  <r>
    <x v="7"/>
    <x v="0"/>
    <n v="185"/>
  </r>
  <r>
    <x v="18"/>
    <x v="9"/>
    <n v="7"/>
  </r>
  <r>
    <x v="18"/>
    <x v="7"/>
    <n v="8"/>
  </r>
  <r>
    <x v="18"/>
    <x v="0"/>
    <n v="1"/>
  </r>
  <r>
    <x v="18"/>
    <x v="2"/>
    <n v="9"/>
  </r>
  <r>
    <x v="0"/>
    <x v="8"/>
    <n v="10"/>
  </r>
  <r>
    <x v="0"/>
    <x v="10"/>
    <n v="21"/>
  </r>
  <r>
    <x v="18"/>
    <x v="11"/>
    <n v="0"/>
  </r>
  <r>
    <x v="19"/>
    <x v="0"/>
    <n v="5"/>
  </r>
  <r>
    <x v="19"/>
    <x v="2"/>
    <n v="8"/>
  </r>
  <r>
    <x v="20"/>
    <x v="7"/>
    <n v="253"/>
  </r>
  <r>
    <x v="20"/>
    <x v="11"/>
    <n v="212"/>
  </r>
  <r>
    <x v="20"/>
    <x v="10"/>
    <n v="261"/>
  </r>
  <r>
    <x v="20"/>
    <x v="6"/>
    <n v="239"/>
  </r>
  <r>
    <x v="21"/>
    <x v="4"/>
    <n v="9"/>
  </r>
  <r>
    <x v="21"/>
    <x v="5"/>
    <n v="10"/>
  </r>
  <r>
    <x v="21"/>
    <x v="3"/>
    <n v="8"/>
  </r>
  <r>
    <x v="21"/>
    <x v="10"/>
    <n v="17"/>
  </r>
  <r>
    <x v="21"/>
    <x v="11"/>
    <n v="8"/>
  </r>
  <r>
    <x v="12"/>
    <x v="6"/>
    <n v="5"/>
  </r>
  <r>
    <x v="12"/>
    <x v="9"/>
    <n v="8"/>
  </r>
  <r>
    <x v="14"/>
    <x v="2"/>
    <n v="13"/>
  </r>
  <r>
    <x v="14"/>
    <x v="6"/>
    <n v="15"/>
  </r>
  <r>
    <x v="14"/>
    <x v="9"/>
    <n v="12"/>
  </r>
  <r>
    <x v="16"/>
    <x v="1"/>
    <n v="87"/>
  </r>
  <r>
    <x v="16"/>
    <x v="0"/>
    <n v="100"/>
  </r>
  <r>
    <x v="16"/>
    <x v="4"/>
    <n v="88"/>
  </r>
  <r>
    <x v="13"/>
    <x v="0"/>
    <n v="14"/>
  </r>
  <r>
    <x v="13"/>
    <x v="2"/>
    <n v="8"/>
  </r>
  <r>
    <x v="16"/>
    <x v="2"/>
    <n v="112"/>
  </r>
  <r>
    <x v="16"/>
    <x v="3"/>
    <n v="116"/>
  </r>
  <r>
    <x v="16"/>
    <x v="5"/>
    <n v="128"/>
  </r>
  <r>
    <x v="22"/>
    <x v="2"/>
    <n v="22"/>
  </r>
  <r>
    <x v="22"/>
    <x v="9"/>
    <n v="9"/>
  </r>
  <r>
    <x v="23"/>
    <x v="0"/>
    <n v="20"/>
  </r>
  <r>
    <x v="16"/>
    <x v="8"/>
    <n v="101"/>
  </r>
  <r>
    <x v="16"/>
    <x v="9"/>
    <n v="154"/>
  </r>
  <r>
    <x v="16"/>
    <x v="7"/>
    <n v="115"/>
  </r>
  <r>
    <x v="16"/>
    <x v="10"/>
    <n v="103"/>
  </r>
  <r>
    <x v="16"/>
    <x v="11"/>
    <n v="102"/>
  </r>
  <r>
    <x v="24"/>
    <x v="4"/>
    <n v="47"/>
  </r>
  <r>
    <x v="24"/>
    <x v="1"/>
    <n v="43"/>
  </r>
  <r>
    <x v="24"/>
    <x v="0"/>
    <n v="48"/>
  </r>
  <r>
    <x v="24"/>
    <x v="2"/>
    <n v="59"/>
  </r>
  <r>
    <x v="24"/>
    <x v="3"/>
    <n v="67"/>
  </r>
  <r>
    <x v="24"/>
    <x v="5"/>
    <n v="43"/>
  </r>
  <r>
    <x v="24"/>
    <x v="8"/>
    <n v="72"/>
  </r>
  <r>
    <x v="24"/>
    <x v="6"/>
    <n v="71"/>
  </r>
  <r>
    <x v="24"/>
    <x v="9"/>
    <n v="70"/>
  </r>
  <r>
    <x v="24"/>
    <x v="7"/>
    <n v="68"/>
  </r>
  <r>
    <x v="13"/>
    <x v="1"/>
    <n v="6"/>
  </r>
  <r>
    <x v="25"/>
    <x v="4"/>
    <n v="124"/>
  </r>
  <r>
    <x v="25"/>
    <x v="1"/>
    <n v="100"/>
  </r>
  <r>
    <x v="25"/>
    <x v="0"/>
    <n v="172"/>
  </r>
  <r>
    <x v="25"/>
    <x v="2"/>
    <n v="172"/>
  </r>
  <r>
    <x v="25"/>
    <x v="3"/>
    <n v="162"/>
  </r>
  <r>
    <x v="25"/>
    <x v="11"/>
    <n v="160"/>
  </r>
  <r>
    <x v="26"/>
    <x v="3"/>
    <n v="14"/>
  </r>
  <r>
    <x v="26"/>
    <x v="4"/>
    <n v="9"/>
  </r>
  <r>
    <x v="26"/>
    <x v="2"/>
    <n v="7"/>
  </r>
  <r>
    <x v="26"/>
    <x v="1"/>
    <n v="9"/>
  </r>
  <r>
    <x v="14"/>
    <x v="7"/>
    <n v="12"/>
  </r>
  <r>
    <x v="17"/>
    <x v="10"/>
    <n v="12"/>
  </r>
  <r>
    <x v="14"/>
    <x v="10"/>
    <n v="7"/>
  </r>
  <r>
    <x v="23"/>
    <x v="2"/>
    <n v="26"/>
  </r>
  <r>
    <x v="23"/>
    <x v="3"/>
    <n v="32"/>
  </r>
  <r>
    <x v="23"/>
    <x v="5"/>
    <n v="23"/>
  </r>
  <r>
    <x v="23"/>
    <x v="8"/>
    <n v="26"/>
  </r>
  <r>
    <x v="27"/>
    <x v="5"/>
    <n v="83"/>
  </r>
  <r>
    <x v="27"/>
    <x v="10"/>
    <n v="90"/>
  </r>
  <r>
    <x v="27"/>
    <x v="8"/>
    <n v="78"/>
  </r>
  <r>
    <x v="25"/>
    <x v="5"/>
    <n v="142"/>
  </r>
  <r>
    <x v="25"/>
    <x v="7"/>
    <n v="200"/>
  </r>
  <r>
    <x v="25"/>
    <x v="9"/>
    <n v="162"/>
  </r>
  <r>
    <x v="25"/>
    <x v="10"/>
    <n v="161"/>
  </r>
  <r>
    <x v="20"/>
    <x v="9"/>
    <n v="237"/>
  </r>
  <r>
    <x v="25"/>
    <x v="8"/>
    <n v="177"/>
  </r>
  <r>
    <x v="0"/>
    <x v="1"/>
    <n v="11"/>
  </r>
  <r>
    <x v="23"/>
    <x v="4"/>
    <n v="20"/>
  </r>
  <r>
    <x v="28"/>
    <x v="4"/>
    <n v="5"/>
  </r>
  <r>
    <x v="28"/>
    <x v="1"/>
    <n v="3"/>
  </r>
  <r>
    <x v="28"/>
    <x v="0"/>
    <n v="1"/>
  </r>
  <r>
    <x v="28"/>
    <x v="2"/>
    <n v="5"/>
  </r>
  <r>
    <x v="28"/>
    <x v="3"/>
    <n v="1"/>
  </r>
  <r>
    <x v="28"/>
    <x v="5"/>
    <n v="4"/>
  </r>
  <r>
    <x v="28"/>
    <x v="8"/>
    <n v="10"/>
  </r>
  <r>
    <x v="20"/>
    <x v="8"/>
    <n v="291"/>
  </r>
  <r>
    <x v="20"/>
    <x v="1"/>
    <n v="176"/>
  </r>
  <r>
    <x v="29"/>
    <x v="1"/>
    <n v="22"/>
  </r>
  <r>
    <x v="29"/>
    <x v="0"/>
    <n v="32"/>
  </r>
  <r>
    <x v="29"/>
    <x v="2"/>
    <n v="20"/>
  </r>
  <r>
    <x v="29"/>
    <x v="3"/>
    <n v="25"/>
  </r>
  <r>
    <x v="29"/>
    <x v="5"/>
    <n v="45"/>
  </r>
  <r>
    <x v="29"/>
    <x v="8"/>
    <n v="38"/>
  </r>
  <r>
    <x v="29"/>
    <x v="6"/>
    <n v="38"/>
  </r>
  <r>
    <x v="29"/>
    <x v="9"/>
    <n v="26"/>
  </r>
  <r>
    <x v="27"/>
    <x v="9"/>
    <n v="107"/>
  </r>
  <r>
    <x v="27"/>
    <x v="7"/>
    <n v="116"/>
  </r>
  <r>
    <x v="25"/>
    <x v="6"/>
    <n v="125"/>
  </r>
  <r>
    <x v="20"/>
    <x v="4"/>
    <n v="171"/>
  </r>
  <r>
    <x v="30"/>
    <x v="4"/>
    <n v="13"/>
  </r>
  <r>
    <x v="30"/>
    <x v="1"/>
    <n v="7"/>
  </r>
  <r>
    <x v="30"/>
    <x v="0"/>
    <n v="6"/>
  </r>
  <r>
    <x v="30"/>
    <x v="2"/>
    <n v="14"/>
  </r>
  <r>
    <x v="30"/>
    <x v="3"/>
    <n v="10"/>
  </r>
  <r>
    <x v="30"/>
    <x v="5"/>
    <n v="20"/>
  </r>
  <r>
    <x v="30"/>
    <x v="8"/>
    <n v="22"/>
  </r>
  <r>
    <x v="30"/>
    <x v="6"/>
    <n v="23"/>
  </r>
  <r>
    <x v="30"/>
    <x v="9"/>
    <n v="10"/>
  </r>
  <r>
    <x v="30"/>
    <x v="7"/>
    <n v="10"/>
  </r>
  <r>
    <x v="30"/>
    <x v="10"/>
    <n v="7"/>
  </r>
  <r>
    <x v="30"/>
    <x v="11"/>
    <n v="10"/>
  </r>
  <r>
    <x v="23"/>
    <x v="1"/>
    <n v="22"/>
  </r>
  <r>
    <x v="23"/>
    <x v="6"/>
    <n v="30"/>
  </r>
  <r>
    <x v="23"/>
    <x v="7"/>
    <n v="18"/>
  </r>
  <r>
    <x v="23"/>
    <x v="10"/>
    <n v="16"/>
  </r>
  <r>
    <x v="31"/>
    <x v="1"/>
    <n v="37"/>
  </r>
  <r>
    <x v="31"/>
    <x v="0"/>
    <n v="38"/>
  </r>
  <r>
    <x v="23"/>
    <x v="11"/>
    <n v="30"/>
  </r>
  <r>
    <x v="32"/>
    <x v="3"/>
    <n v="18"/>
  </r>
  <r>
    <x v="20"/>
    <x v="3"/>
    <n v="250"/>
  </r>
  <r>
    <x v="20"/>
    <x v="5"/>
    <n v="226"/>
  </r>
  <r>
    <x v="32"/>
    <x v="5"/>
    <n v="19"/>
  </r>
  <r>
    <x v="32"/>
    <x v="8"/>
    <n v="13"/>
  </r>
  <r>
    <x v="32"/>
    <x v="9"/>
    <n v="26"/>
  </r>
  <r>
    <x v="32"/>
    <x v="6"/>
    <n v="17"/>
  </r>
  <r>
    <x v="32"/>
    <x v="7"/>
    <n v="27"/>
  </r>
  <r>
    <x v="32"/>
    <x v="11"/>
    <n v="28"/>
  </r>
  <r>
    <x v="32"/>
    <x v="4"/>
    <n v="11"/>
  </r>
  <r>
    <x v="32"/>
    <x v="0"/>
    <n v="16"/>
  </r>
  <r>
    <x v="32"/>
    <x v="1"/>
    <n v="14"/>
  </r>
  <r>
    <x v="33"/>
    <x v="0"/>
    <n v="26"/>
  </r>
  <r>
    <x v="32"/>
    <x v="2"/>
    <n v="16"/>
  </r>
  <r>
    <x v="33"/>
    <x v="2"/>
    <n v="37"/>
  </r>
  <r>
    <x v="33"/>
    <x v="8"/>
    <n v="24"/>
  </r>
  <r>
    <x v="29"/>
    <x v="10"/>
    <n v="31"/>
  </r>
  <r>
    <x v="29"/>
    <x v="11"/>
    <n v="29"/>
  </r>
  <r>
    <x v="33"/>
    <x v="6"/>
    <n v="30"/>
  </r>
  <r>
    <x v="29"/>
    <x v="7"/>
    <n v="26"/>
  </r>
  <r>
    <x v="33"/>
    <x v="9"/>
    <n v="20"/>
  </r>
  <r>
    <x v="24"/>
    <x v="11"/>
    <n v="54"/>
  </r>
  <r>
    <x v="33"/>
    <x v="10"/>
    <n v="26"/>
  </r>
  <r>
    <x v="24"/>
    <x v="10"/>
    <n v="48"/>
  </r>
  <r>
    <x v="33"/>
    <x v="11"/>
    <n v="31"/>
  </r>
  <r>
    <x v="33"/>
    <x v="4"/>
    <n v="19"/>
  </r>
  <r>
    <x v="33"/>
    <x v="3"/>
    <n v="28"/>
  </r>
  <r>
    <x v="33"/>
    <x v="5"/>
    <n v="36"/>
  </r>
  <r>
    <x v="34"/>
    <x v="4"/>
    <n v="5"/>
  </r>
  <r>
    <x v="34"/>
    <x v="1"/>
    <n v="3"/>
  </r>
  <r>
    <x v="33"/>
    <x v="7"/>
    <n v="24"/>
  </r>
  <r>
    <x v="34"/>
    <x v="0"/>
    <n v="2"/>
  </r>
  <r>
    <x v="34"/>
    <x v="2"/>
    <n v="4"/>
  </r>
  <r>
    <x v="34"/>
    <x v="3"/>
    <n v="3"/>
  </r>
  <r>
    <x v="26"/>
    <x v="9"/>
    <n v="15"/>
  </r>
  <r>
    <x v="20"/>
    <x v="0"/>
    <n v="216"/>
  </r>
  <r>
    <x v="20"/>
    <x v="2"/>
    <n v="182"/>
  </r>
  <r>
    <x v="32"/>
    <x v="10"/>
    <n v="12"/>
  </r>
  <r>
    <x v="27"/>
    <x v="11"/>
    <n v="91"/>
  </r>
  <r>
    <x v="27"/>
    <x v="4"/>
    <n v="69"/>
  </r>
  <r>
    <x v="27"/>
    <x v="1"/>
    <n v="67"/>
  </r>
  <r>
    <x v="27"/>
    <x v="3"/>
    <n v="64"/>
  </r>
  <r>
    <x v="27"/>
    <x v="6"/>
    <n v="80"/>
  </r>
  <r>
    <x v="29"/>
    <x v="4"/>
    <n v="29"/>
  </r>
  <r>
    <x v="35"/>
    <x v="5"/>
    <n v="45"/>
  </r>
  <r>
    <x v="35"/>
    <x v="8"/>
    <n v="49"/>
  </r>
  <r>
    <x v="31"/>
    <x v="11"/>
    <n v="62"/>
  </r>
  <r>
    <x v="31"/>
    <x v="10"/>
    <n v="51"/>
  </r>
  <r>
    <x v="26"/>
    <x v="6"/>
    <n v="13"/>
  </r>
  <r>
    <x v="26"/>
    <x v="7"/>
    <n v="12"/>
  </r>
  <r>
    <x v="26"/>
    <x v="10"/>
    <n v="3"/>
  </r>
  <r>
    <x v="26"/>
    <x v="11"/>
    <n v="11"/>
  </r>
  <r>
    <x v="26"/>
    <x v="0"/>
    <n v="14"/>
  </r>
  <r>
    <x v="26"/>
    <x v="5"/>
    <n v="6"/>
  </r>
  <r>
    <x v="26"/>
    <x v="8"/>
    <n v="5"/>
  </r>
  <r>
    <x v="19"/>
    <x v="10"/>
    <n v="6"/>
  </r>
  <r>
    <x v="19"/>
    <x v="9"/>
    <n v="5"/>
  </r>
  <r>
    <x v="31"/>
    <x v="4"/>
    <n v="24"/>
  </r>
  <r>
    <x v="31"/>
    <x v="2"/>
    <n v="40"/>
  </r>
  <r>
    <x v="31"/>
    <x v="3"/>
    <n v="51"/>
  </r>
  <r>
    <x v="27"/>
    <x v="0"/>
    <n v="68"/>
  </r>
  <r>
    <x v="27"/>
    <x v="2"/>
    <n v="53"/>
  </r>
  <r>
    <x v="36"/>
    <x v="8"/>
    <n v="26"/>
  </r>
  <r>
    <x v="36"/>
    <x v="11"/>
    <n v="15"/>
  </r>
  <r>
    <x v="36"/>
    <x v="9"/>
    <n v="22"/>
  </r>
  <r>
    <x v="36"/>
    <x v="6"/>
    <n v="19"/>
  </r>
  <r>
    <x v="36"/>
    <x v="7"/>
    <n v="11"/>
  </r>
  <r>
    <x v="28"/>
    <x v="6"/>
    <n v="2"/>
  </r>
  <r>
    <x v="28"/>
    <x v="9"/>
    <n v="4"/>
  </r>
  <r>
    <x v="28"/>
    <x v="7"/>
    <n v="9"/>
  </r>
  <r>
    <x v="28"/>
    <x v="10"/>
    <n v="10"/>
  </r>
  <r>
    <x v="28"/>
    <x v="11"/>
    <n v="2"/>
  </r>
  <r>
    <x v="37"/>
    <x v="2"/>
    <n v="28"/>
  </r>
  <r>
    <x v="23"/>
    <x v="9"/>
    <n v="17"/>
  </r>
  <r>
    <x v="38"/>
    <x v="0"/>
    <n v="33"/>
  </r>
  <r>
    <x v="38"/>
    <x v="2"/>
    <n v="34"/>
  </r>
  <r>
    <x v="38"/>
    <x v="3"/>
    <n v="42"/>
  </r>
  <r>
    <x v="38"/>
    <x v="8"/>
    <n v="40"/>
  </r>
  <r>
    <x v="38"/>
    <x v="1"/>
    <n v="16"/>
  </r>
  <r>
    <x v="38"/>
    <x v="5"/>
    <n v="32"/>
  </r>
  <r>
    <x v="31"/>
    <x v="9"/>
    <n v="38"/>
  </r>
  <r>
    <x v="35"/>
    <x v="9"/>
    <n v="47"/>
  </r>
  <r>
    <x v="35"/>
    <x v="4"/>
    <n v="30"/>
  </r>
  <r>
    <x v="35"/>
    <x v="1"/>
    <n v="27"/>
  </r>
  <r>
    <x v="35"/>
    <x v="0"/>
    <n v="34"/>
  </r>
  <r>
    <x v="35"/>
    <x v="2"/>
    <n v="33"/>
  </r>
  <r>
    <x v="39"/>
    <x v="3"/>
    <n v="2"/>
  </r>
  <r>
    <x v="39"/>
    <x v="2"/>
    <n v="3"/>
  </r>
  <r>
    <x v="31"/>
    <x v="8"/>
    <n v="58"/>
  </r>
  <r>
    <x v="31"/>
    <x v="6"/>
    <n v="51"/>
  </r>
  <r>
    <x v="40"/>
    <x v="5"/>
    <n v="8"/>
  </r>
  <r>
    <x v="40"/>
    <x v="8"/>
    <n v="16"/>
  </r>
  <r>
    <x v="40"/>
    <x v="6"/>
    <n v="5"/>
  </r>
  <r>
    <x v="38"/>
    <x v="10"/>
    <n v="49"/>
  </r>
  <r>
    <x v="40"/>
    <x v="4"/>
    <n v="7"/>
  </r>
  <r>
    <x v="38"/>
    <x v="11"/>
    <n v="22"/>
  </r>
  <r>
    <x v="40"/>
    <x v="1"/>
    <n v="8"/>
  </r>
  <r>
    <x v="33"/>
    <x v="1"/>
    <n v="25"/>
  </r>
  <r>
    <x v="40"/>
    <x v="0"/>
    <n v="7"/>
  </r>
  <r>
    <x v="38"/>
    <x v="7"/>
    <n v="48"/>
  </r>
  <r>
    <x v="41"/>
    <x v="4"/>
    <n v="1"/>
  </r>
  <r>
    <x v="41"/>
    <x v="1"/>
    <n v="3"/>
  </r>
  <r>
    <x v="41"/>
    <x v="0"/>
    <n v="3"/>
  </r>
  <r>
    <x v="31"/>
    <x v="7"/>
    <n v="58"/>
  </r>
  <r>
    <x v="22"/>
    <x v="1"/>
    <n v="5"/>
  </r>
  <r>
    <x v="22"/>
    <x v="8"/>
    <n v="16"/>
  </r>
  <r>
    <x v="22"/>
    <x v="3"/>
    <n v="11"/>
  </r>
  <r>
    <x v="21"/>
    <x v="2"/>
    <n v="6"/>
  </r>
  <r>
    <x v="21"/>
    <x v="1"/>
    <n v="4"/>
  </r>
  <r>
    <x v="21"/>
    <x v="0"/>
    <n v="7"/>
  </r>
  <r>
    <x v="21"/>
    <x v="6"/>
    <n v="7"/>
  </r>
  <r>
    <x v="21"/>
    <x v="8"/>
    <n v="10"/>
  </r>
  <r>
    <x v="21"/>
    <x v="9"/>
    <n v="7"/>
  </r>
  <r>
    <x v="21"/>
    <x v="7"/>
    <n v="7"/>
  </r>
  <r>
    <x v="31"/>
    <x v="5"/>
    <n v="51"/>
  </r>
  <r>
    <x v="42"/>
    <x v="9"/>
    <n v="3"/>
  </r>
  <r>
    <x v="42"/>
    <x v="6"/>
    <n v="3"/>
  </r>
  <r>
    <x v="42"/>
    <x v="7"/>
    <n v="5"/>
  </r>
  <r>
    <x v="42"/>
    <x v="0"/>
    <n v="1"/>
  </r>
  <r>
    <x v="42"/>
    <x v="4"/>
    <n v="1"/>
  </r>
  <r>
    <x v="43"/>
    <x v="4"/>
    <n v="16"/>
  </r>
  <r>
    <x v="43"/>
    <x v="1"/>
    <n v="21"/>
  </r>
  <r>
    <x v="43"/>
    <x v="0"/>
    <n v="42"/>
  </r>
  <r>
    <x v="43"/>
    <x v="2"/>
    <n v="30"/>
  </r>
  <r>
    <x v="44"/>
    <x v="9"/>
    <n v="34"/>
  </r>
  <r>
    <x v="44"/>
    <x v="4"/>
    <n v="25"/>
  </r>
  <r>
    <x v="34"/>
    <x v="7"/>
    <n v="6"/>
  </r>
  <r>
    <x v="34"/>
    <x v="10"/>
    <n v="5"/>
  </r>
  <r>
    <x v="34"/>
    <x v="11"/>
    <n v="3"/>
  </r>
  <r>
    <x v="44"/>
    <x v="1"/>
    <n v="20"/>
  </r>
  <r>
    <x v="44"/>
    <x v="0"/>
    <n v="40"/>
  </r>
  <r>
    <x v="44"/>
    <x v="2"/>
    <n v="39"/>
  </r>
  <r>
    <x v="44"/>
    <x v="3"/>
    <n v="25"/>
  </r>
  <r>
    <x v="43"/>
    <x v="3"/>
    <n v="21"/>
  </r>
  <r>
    <x v="43"/>
    <x v="5"/>
    <n v="31"/>
  </r>
  <r>
    <x v="44"/>
    <x v="8"/>
    <n v="36"/>
  </r>
  <r>
    <x v="44"/>
    <x v="5"/>
    <n v="37"/>
  </r>
  <r>
    <x v="43"/>
    <x v="8"/>
    <n v="36"/>
  </r>
  <r>
    <x v="43"/>
    <x v="6"/>
    <n v="32"/>
  </r>
  <r>
    <x v="44"/>
    <x v="6"/>
    <n v="46"/>
  </r>
  <r>
    <x v="43"/>
    <x v="10"/>
    <n v="27"/>
  </r>
  <r>
    <x v="43"/>
    <x v="9"/>
    <n v="30"/>
  </r>
  <r>
    <x v="44"/>
    <x v="7"/>
    <n v="52"/>
  </r>
  <r>
    <x v="40"/>
    <x v="2"/>
    <n v="20"/>
  </r>
  <r>
    <x v="38"/>
    <x v="4"/>
    <n v="20"/>
  </r>
  <r>
    <x v="40"/>
    <x v="3"/>
    <n v="8"/>
  </r>
  <r>
    <x v="22"/>
    <x v="4"/>
    <n v="13"/>
  </r>
  <r>
    <x v="22"/>
    <x v="0"/>
    <n v="16"/>
  </r>
  <r>
    <x v="19"/>
    <x v="7"/>
    <n v="13"/>
  </r>
  <r>
    <x v="19"/>
    <x v="11"/>
    <n v="10"/>
  </r>
  <r>
    <x v="43"/>
    <x v="11"/>
    <n v="33"/>
  </r>
  <r>
    <x v="38"/>
    <x v="9"/>
    <n v="42"/>
  </r>
  <r>
    <x v="43"/>
    <x v="7"/>
    <n v="34"/>
  </r>
  <r>
    <x v="40"/>
    <x v="7"/>
    <n v="14"/>
  </r>
  <r>
    <x v="40"/>
    <x v="9"/>
    <n v="12"/>
  </r>
  <r>
    <x v="40"/>
    <x v="10"/>
    <n v="3"/>
  </r>
  <r>
    <x v="40"/>
    <x v="11"/>
    <n v="4"/>
  </r>
  <r>
    <x v="38"/>
    <x v="6"/>
    <n v="44"/>
  </r>
  <r>
    <x v="19"/>
    <x v="4"/>
    <n v="5"/>
  </r>
  <r>
    <x v="19"/>
    <x v="1"/>
    <n v="5"/>
  </r>
  <r>
    <x v="19"/>
    <x v="3"/>
    <n v="13"/>
  </r>
  <r>
    <x v="19"/>
    <x v="5"/>
    <n v="8"/>
  </r>
  <r>
    <x v="19"/>
    <x v="8"/>
    <n v="11"/>
  </r>
  <r>
    <x v="45"/>
    <x v="11"/>
    <n v="69"/>
  </r>
  <r>
    <x v="45"/>
    <x v="4"/>
    <n v="40"/>
  </r>
  <r>
    <x v="45"/>
    <x v="1"/>
    <n v="47"/>
  </r>
  <r>
    <x v="45"/>
    <x v="0"/>
    <n v="55"/>
  </r>
  <r>
    <x v="45"/>
    <x v="2"/>
    <n v="49"/>
  </r>
  <r>
    <x v="45"/>
    <x v="3"/>
    <n v="58"/>
  </r>
  <r>
    <x v="45"/>
    <x v="5"/>
    <n v="46"/>
  </r>
  <r>
    <x v="45"/>
    <x v="8"/>
    <n v="44"/>
  </r>
  <r>
    <x v="45"/>
    <x v="6"/>
    <n v="54"/>
  </r>
  <r>
    <x v="45"/>
    <x v="9"/>
    <n v="49"/>
  </r>
  <r>
    <x v="45"/>
    <x v="7"/>
    <n v="58"/>
  </r>
  <r>
    <x v="46"/>
    <x v="9"/>
    <n v="26"/>
  </r>
  <r>
    <x v="46"/>
    <x v="8"/>
    <n v="16"/>
  </r>
  <r>
    <x v="46"/>
    <x v="7"/>
    <n v="12"/>
  </r>
  <r>
    <x v="46"/>
    <x v="10"/>
    <n v="14"/>
  </r>
  <r>
    <x v="46"/>
    <x v="11"/>
    <n v="25"/>
  </r>
  <r>
    <x v="47"/>
    <x v="4"/>
    <n v="7"/>
  </r>
  <r>
    <x v="47"/>
    <x v="1"/>
    <n v="3"/>
  </r>
  <r>
    <x v="47"/>
    <x v="0"/>
    <n v="7"/>
  </r>
  <r>
    <x v="36"/>
    <x v="4"/>
    <n v="14"/>
  </r>
  <r>
    <x v="35"/>
    <x v="3"/>
    <n v="23"/>
  </r>
  <r>
    <x v="35"/>
    <x v="6"/>
    <n v="26"/>
  </r>
  <r>
    <x v="35"/>
    <x v="10"/>
    <n v="32"/>
  </r>
  <r>
    <x v="35"/>
    <x v="7"/>
    <n v="37"/>
  </r>
  <r>
    <x v="19"/>
    <x v="6"/>
    <n v="9"/>
  </r>
  <r>
    <x v="48"/>
    <x v="9"/>
    <n v="1"/>
  </r>
  <r>
    <x v="48"/>
    <x v="8"/>
    <n v="5"/>
  </r>
  <r>
    <x v="48"/>
    <x v="10"/>
    <n v="1"/>
  </r>
  <r>
    <x v="48"/>
    <x v="11"/>
    <n v="1"/>
  </r>
  <r>
    <x v="34"/>
    <x v="5"/>
    <n v="9"/>
  </r>
  <r>
    <x v="37"/>
    <x v="10"/>
    <n v="14"/>
  </r>
  <r>
    <x v="37"/>
    <x v="9"/>
    <n v="17"/>
  </r>
  <r>
    <x v="37"/>
    <x v="7"/>
    <n v="21"/>
  </r>
  <r>
    <x v="37"/>
    <x v="11"/>
    <n v="9"/>
  </r>
  <r>
    <x v="37"/>
    <x v="4"/>
    <n v="6"/>
  </r>
  <r>
    <x v="37"/>
    <x v="1"/>
    <n v="8"/>
  </r>
  <r>
    <x v="36"/>
    <x v="1"/>
    <n v="22"/>
  </r>
  <r>
    <x v="36"/>
    <x v="0"/>
    <n v="13"/>
  </r>
  <r>
    <x v="36"/>
    <x v="2"/>
    <n v="15"/>
  </r>
  <r>
    <x v="36"/>
    <x v="3"/>
    <n v="27"/>
  </r>
  <r>
    <x v="37"/>
    <x v="3"/>
    <n v="16"/>
  </r>
  <r>
    <x v="36"/>
    <x v="5"/>
    <n v="30"/>
  </r>
  <r>
    <x v="37"/>
    <x v="8"/>
    <n v="17"/>
  </r>
  <r>
    <x v="37"/>
    <x v="6"/>
    <n v="15"/>
  </r>
  <r>
    <x v="37"/>
    <x v="5"/>
    <n v="13"/>
  </r>
  <r>
    <x v="36"/>
    <x v="10"/>
    <n v="22"/>
  </r>
  <r>
    <x v="46"/>
    <x v="0"/>
    <n v="7"/>
  </r>
  <r>
    <x v="49"/>
    <x v="9"/>
    <n v="11"/>
  </r>
  <r>
    <x v="48"/>
    <x v="6"/>
    <n v="1"/>
  </r>
  <r>
    <x v="48"/>
    <x v="7"/>
    <n v="2"/>
  </r>
  <r>
    <x v="49"/>
    <x v="10"/>
    <n v="5"/>
  </r>
  <r>
    <x v="45"/>
    <x v="10"/>
    <n v="54"/>
  </r>
  <r>
    <x v="22"/>
    <x v="7"/>
    <n v="17"/>
  </r>
  <r>
    <x v="22"/>
    <x v="10"/>
    <n v="14"/>
  </r>
  <r>
    <x v="22"/>
    <x v="11"/>
    <n v="13"/>
  </r>
  <r>
    <x v="48"/>
    <x v="0"/>
    <n v="2"/>
  </r>
  <r>
    <x v="44"/>
    <x v="10"/>
    <n v="19"/>
  </r>
  <r>
    <x v="35"/>
    <x v="11"/>
    <n v="33"/>
  </r>
  <r>
    <x v="44"/>
    <x v="11"/>
    <n v="28"/>
  </r>
  <r>
    <x v="22"/>
    <x v="5"/>
    <n v="13"/>
  </r>
  <r>
    <x v="22"/>
    <x v="6"/>
    <n v="22"/>
  </r>
  <r>
    <x v="50"/>
    <x v="3"/>
    <n v="0"/>
  </r>
  <r>
    <x v="50"/>
    <x v="8"/>
    <n v="1"/>
  </r>
  <r>
    <x v="34"/>
    <x v="8"/>
    <n v="4"/>
  </r>
  <r>
    <x v="51"/>
    <x v="0"/>
    <n v="5"/>
  </r>
  <r>
    <x v="51"/>
    <x v="4"/>
    <n v="3"/>
  </r>
  <r>
    <x v="49"/>
    <x v="4"/>
    <n v="1"/>
  </r>
  <r>
    <x v="49"/>
    <x v="0"/>
    <n v="4"/>
  </r>
  <r>
    <x v="49"/>
    <x v="1"/>
    <n v="5"/>
  </r>
  <r>
    <x v="49"/>
    <x v="2"/>
    <n v="4"/>
  </r>
  <r>
    <x v="49"/>
    <x v="3"/>
    <n v="1"/>
  </r>
  <r>
    <x v="49"/>
    <x v="5"/>
    <n v="2"/>
  </r>
  <r>
    <x v="49"/>
    <x v="8"/>
    <n v="5"/>
  </r>
  <r>
    <x v="49"/>
    <x v="6"/>
    <n v="4"/>
  </r>
  <r>
    <x v="49"/>
    <x v="7"/>
    <n v="7"/>
  </r>
  <r>
    <x v="42"/>
    <x v="5"/>
    <n v="2"/>
  </r>
  <r>
    <x v="42"/>
    <x v="8"/>
    <n v="3"/>
  </r>
  <r>
    <x v="37"/>
    <x v="0"/>
    <n v="14"/>
  </r>
  <r>
    <x v="52"/>
    <x v="6"/>
    <n v="4"/>
  </r>
  <r>
    <x v="42"/>
    <x v="1"/>
    <n v="0"/>
  </r>
  <r>
    <x v="2"/>
    <x v="9"/>
    <n v="3"/>
  </r>
  <r>
    <x v="2"/>
    <x v="5"/>
    <n v="4"/>
  </r>
  <r>
    <x v="2"/>
    <x v="7"/>
    <n v="4"/>
  </r>
  <r>
    <x v="2"/>
    <x v="11"/>
    <n v="5"/>
  </r>
  <r>
    <x v="52"/>
    <x v="4"/>
    <n v="1"/>
  </r>
  <r>
    <x v="52"/>
    <x v="1"/>
    <n v="2"/>
  </r>
  <r>
    <x v="52"/>
    <x v="0"/>
    <n v="5"/>
  </r>
  <r>
    <x v="52"/>
    <x v="3"/>
    <n v="2"/>
  </r>
  <r>
    <x v="52"/>
    <x v="5"/>
    <n v="1"/>
  </r>
  <r>
    <x v="52"/>
    <x v="8"/>
    <n v="12"/>
  </r>
  <r>
    <x v="47"/>
    <x v="10"/>
    <n v="12"/>
  </r>
  <r>
    <x v="18"/>
    <x v="10"/>
    <n v="6"/>
  </r>
  <r>
    <x v="18"/>
    <x v="5"/>
    <n v="5"/>
  </r>
  <r>
    <x v="46"/>
    <x v="2"/>
    <n v="16"/>
  </r>
  <r>
    <x v="46"/>
    <x v="5"/>
    <n v="24"/>
  </r>
  <r>
    <x v="46"/>
    <x v="6"/>
    <n v="13"/>
  </r>
  <r>
    <x v="49"/>
    <x v="11"/>
    <n v="7"/>
  </r>
  <r>
    <x v="46"/>
    <x v="4"/>
    <n v="10"/>
  </r>
  <r>
    <x v="46"/>
    <x v="1"/>
    <n v="16"/>
  </r>
  <r>
    <x v="18"/>
    <x v="3"/>
    <n v="7"/>
  </r>
  <r>
    <x v="18"/>
    <x v="8"/>
    <n v="2"/>
  </r>
  <r>
    <x v="46"/>
    <x v="3"/>
    <n v="14"/>
  </r>
  <r>
    <x v="18"/>
    <x v="6"/>
    <n v="3"/>
  </r>
  <r>
    <x v="18"/>
    <x v="4"/>
    <n v="6"/>
  </r>
  <r>
    <x v="18"/>
    <x v="1"/>
    <n v="0"/>
  </r>
  <r>
    <x v="50"/>
    <x v="7"/>
    <n v="0"/>
  </r>
  <r>
    <x v="34"/>
    <x v="6"/>
    <n v="1"/>
  </r>
  <r>
    <x v="34"/>
    <x v="9"/>
    <n v="2"/>
  </r>
  <r>
    <x v="51"/>
    <x v="2"/>
    <n v="4"/>
  </r>
  <r>
    <x v="51"/>
    <x v="3"/>
    <n v="6"/>
  </r>
  <r>
    <x v="50"/>
    <x v="4"/>
    <n v="0"/>
  </r>
  <r>
    <x v="15"/>
    <x v="8"/>
    <n v="1"/>
  </r>
  <r>
    <x v="15"/>
    <x v="6"/>
    <n v="2"/>
  </r>
  <r>
    <x v="53"/>
    <x v="4"/>
    <n v="3"/>
  </r>
  <r>
    <x v="53"/>
    <x v="0"/>
    <n v="1"/>
  </r>
  <r>
    <x v="53"/>
    <x v="2"/>
    <n v="2"/>
  </r>
  <r>
    <x v="53"/>
    <x v="3"/>
    <n v="3"/>
  </r>
  <r>
    <x v="53"/>
    <x v="5"/>
    <n v="1"/>
  </r>
  <r>
    <x v="53"/>
    <x v="8"/>
    <n v="3"/>
  </r>
  <r>
    <x v="53"/>
    <x v="6"/>
    <n v="4"/>
  </r>
  <r>
    <x v="53"/>
    <x v="9"/>
    <n v="7"/>
  </r>
  <r>
    <x v="53"/>
    <x v="7"/>
    <n v="2"/>
  </r>
  <r>
    <x v="53"/>
    <x v="10"/>
    <n v="3"/>
  </r>
  <r>
    <x v="53"/>
    <x v="11"/>
    <n v="2"/>
  </r>
  <r>
    <x v="47"/>
    <x v="9"/>
    <n v="5"/>
  </r>
  <r>
    <x v="47"/>
    <x v="7"/>
    <n v="7"/>
  </r>
  <r>
    <x v="47"/>
    <x v="11"/>
    <n v="8"/>
  </r>
  <r>
    <x v="47"/>
    <x v="8"/>
    <n v="4"/>
  </r>
  <r>
    <x v="47"/>
    <x v="6"/>
    <n v="11"/>
  </r>
  <r>
    <x v="47"/>
    <x v="2"/>
    <n v="9"/>
  </r>
  <r>
    <x v="41"/>
    <x v="11"/>
    <n v="2"/>
  </r>
  <r>
    <x v="42"/>
    <x v="2"/>
    <n v="4"/>
  </r>
  <r>
    <x v="42"/>
    <x v="3"/>
    <n v="1"/>
  </r>
  <r>
    <x v="15"/>
    <x v="7"/>
    <n v="0"/>
  </r>
  <r>
    <x v="52"/>
    <x v="9"/>
    <n v="1"/>
  </r>
  <r>
    <x v="52"/>
    <x v="7"/>
    <n v="1"/>
  </r>
  <r>
    <x v="52"/>
    <x v="11"/>
    <n v="0"/>
  </r>
  <r>
    <x v="15"/>
    <x v="4"/>
    <n v="2"/>
  </r>
  <r>
    <x v="54"/>
    <x v="5"/>
    <n v="2"/>
  </r>
  <r>
    <x v="54"/>
    <x v="6"/>
    <n v="1"/>
  </r>
  <r>
    <x v="54"/>
    <x v="11"/>
    <n v="0"/>
  </r>
  <r>
    <x v="47"/>
    <x v="3"/>
    <n v="12"/>
  </r>
  <r>
    <x v="47"/>
    <x v="5"/>
    <n v="6"/>
  </r>
  <r>
    <x v="2"/>
    <x v="4"/>
    <n v="7"/>
  </r>
  <r>
    <x v="2"/>
    <x v="1"/>
    <n v="1"/>
  </r>
  <r>
    <x v="2"/>
    <x v="2"/>
    <n v="10"/>
  </r>
  <r>
    <x v="2"/>
    <x v="3"/>
    <n v="2"/>
  </r>
  <r>
    <x v="2"/>
    <x v="6"/>
    <n v="2"/>
  </r>
  <r>
    <x v="55"/>
    <x v="0"/>
    <n v="1"/>
  </r>
  <r>
    <x v="55"/>
    <x v="2"/>
    <n v="0"/>
  </r>
  <r>
    <x v="55"/>
    <x v="3"/>
    <n v="2"/>
  </r>
  <r>
    <x v="55"/>
    <x v="5"/>
    <n v="0"/>
  </r>
  <r>
    <x v="55"/>
    <x v="8"/>
    <n v="0"/>
  </r>
  <r>
    <x v="55"/>
    <x v="6"/>
    <n v="1"/>
  </r>
  <r>
    <x v="55"/>
    <x v="9"/>
    <n v="2"/>
  </r>
  <r>
    <x v="55"/>
    <x v="7"/>
    <n v="0"/>
  </r>
  <r>
    <x v="55"/>
    <x v="10"/>
    <n v="1"/>
  </r>
  <r>
    <x v="55"/>
    <x v="11"/>
    <n v="1"/>
  </r>
  <r>
    <x v="56"/>
    <x v="4"/>
    <n v="0"/>
  </r>
  <r>
    <x v="56"/>
    <x v="1"/>
    <n v="1"/>
  </r>
  <r>
    <x v="56"/>
    <x v="0"/>
    <n v="1"/>
  </r>
  <r>
    <x v="56"/>
    <x v="2"/>
    <n v="1"/>
  </r>
  <r>
    <x v="56"/>
    <x v="3"/>
    <n v="3"/>
  </r>
  <r>
    <x v="56"/>
    <x v="5"/>
    <n v="2"/>
  </r>
  <r>
    <x v="56"/>
    <x v="8"/>
    <n v="0"/>
  </r>
  <r>
    <x v="56"/>
    <x v="6"/>
    <n v="1"/>
  </r>
  <r>
    <x v="56"/>
    <x v="10"/>
    <n v="4"/>
  </r>
  <r>
    <x v="56"/>
    <x v="11"/>
    <n v="1"/>
  </r>
  <r>
    <x v="41"/>
    <x v="2"/>
    <n v="7"/>
  </r>
  <r>
    <x v="41"/>
    <x v="3"/>
    <n v="3"/>
  </r>
  <r>
    <x v="41"/>
    <x v="5"/>
    <n v="1"/>
  </r>
  <r>
    <x v="41"/>
    <x v="8"/>
    <n v="11"/>
  </r>
  <r>
    <x v="41"/>
    <x v="6"/>
    <n v="3"/>
  </r>
  <r>
    <x v="41"/>
    <x v="9"/>
    <n v="5"/>
  </r>
  <r>
    <x v="41"/>
    <x v="7"/>
    <n v="6"/>
  </r>
  <r>
    <x v="41"/>
    <x v="10"/>
    <n v="1"/>
  </r>
  <r>
    <x v="14"/>
    <x v="11"/>
    <n v="9"/>
  </r>
  <r>
    <x v="54"/>
    <x v="1"/>
    <n v="1"/>
  </r>
  <r>
    <x v="52"/>
    <x v="10"/>
    <n v="2"/>
  </r>
  <r>
    <x v="57"/>
    <x v="6"/>
    <n v="1"/>
  </r>
  <r>
    <x v="57"/>
    <x v="5"/>
    <n v="4"/>
  </r>
  <r>
    <x v="57"/>
    <x v="8"/>
    <n v="5"/>
  </r>
  <r>
    <x v="57"/>
    <x v="4"/>
    <n v="1"/>
  </r>
  <r>
    <x v="57"/>
    <x v="1"/>
    <n v="0"/>
  </r>
  <r>
    <x v="57"/>
    <x v="2"/>
    <n v="2"/>
  </r>
  <r>
    <x v="42"/>
    <x v="10"/>
    <n v="3"/>
  </r>
  <r>
    <x v="42"/>
    <x v="11"/>
    <n v="0"/>
  </r>
  <r>
    <x v="39"/>
    <x v="9"/>
    <n v="1"/>
  </r>
  <r>
    <x v="57"/>
    <x v="9"/>
    <n v="2"/>
  </r>
  <r>
    <x v="57"/>
    <x v="7"/>
    <n v="1"/>
  </r>
  <r>
    <x v="57"/>
    <x v="3"/>
    <n v="5"/>
  </r>
  <r>
    <x v="39"/>
    <x v="4"/>
    <n v="1"/>
  </r>
  <r>
    <x v="39"/>
    <x v="0"/>
    <n v="2"/>
  </r>
  <r>
    <x v="39"/>
    <x v="5"/>
    <n v="2"/>
  </r>
  <r>
    <x v="39"/>
    <x v="8"/>
    <n v="3"/>
  </r>
  <r>
    <x v="39"/>
    <x v="6"/>
    <n v="2"/>
  </r>
  <r>
    <x v="39"/>
    <x v="7"/>
    <n v="3"/>
  </r>
  <r>
    <x v="39"/>
    <x v="10"/>
    <n v="3"/>
  </r>
  <r>
    <x v="39"/>
    <x v="11"/>
    <n v="0"/>
  </r>
  <r>
    <x v="51"/>
    <x v="1"/>
    <n v="3"/>
  </r>
  <r>
    <x v="51"/>
    <x v="11"/>
    <n v="8"/>
  </r>
  <r>
    <x v="51"/>
    <x v="8"/>
    <n v="9"/>
  </r>
  <r>
    <x v="51"/>
    <x v="6"/>
    <n v="3"/>
  </r>
  <r>
    <x v="51"/>
    <x v="9"/>
    <n v="6"/>
  </r>
  <r>
    <x v="51"/>
    <x v="7"/>
    <n v="3"/>
  </r>
  <r>
    <x v="51"/>
    <x v="10"/>
    <n v="9"/>
  </r>
  <r>
    <x v="57"/>
    <x v="10"/>
    <n v="2"/>
  </r>
  <r>
    <x v="57"/>
    <x v="11"/>
    <n v="4"/>
  </r>
  <r>
    <x v="51"/>
    <x v="5"/>
    <n v="4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x v="0"/>
    <n v="48"/>
  </r>
  <r>
    <x v="0"/>
    <x v="1"/>
    <n v="28"/>
  </r>
  <r>
    <x v="0"/>
    <x v="2"/>
    <n v="42"/>
  </r>
  <r>
    <x v="0"/>
    <x v="3"/>
    <n v="30"/>
  </r>
  <r>
    <x v="0"/>
    <x v="4"/>
    <n v="39"/>
  </r>
  <r>
    <x v="1"/>
    <x v="1"/>
    <n v="13"/>
  </r>
  <r>
    <x v="1"/>
    <x v="2"/>
    <n v="9"/>
  </r>
  <r>
    <x v="1"/>
    <x v="3"/>
    <n v="15"/>
  </r>
  <r>
    <x v="1"/>
    <x v="4"/>
    <n v="6"/>
  </r>
  <r>
    <x v="1"/>
    <x v="5"/>
    <n v="16"/>
  </r>
  <r>
    <x v="1"/>
    <x v="0"/>
    <n v="14"/>
  </r>
  <r>
    <x v="1"/>
    <x v="6"/>
    <n v="13"/>
  </r>
  <r>
    <x v="0"/>
    <x v="5"/>
    <n v="42"/>
  </r>
  <r>
    <x v="2"/>
    <x v="7"/>
    <n v="56"/>
  </r>
  <r>
    <x v="2"/>
    <x v="8"/>
    <n v="39"/>
  </r>
  <r>
    <x v="2"/>
    <x v="9"/>
    <n v="33"/>
  </r>
  <r>
    <x v="2"/>
    <x v="10"/>
    <n v="31"/>
  </r>
  <r>
    <x v="2"/>
    <x v="11"/>
    <n v="40"/>
  </r>
  <r>
    <x v="2"/>
    <x v="1"/>
    <n v="53"/>
  </r>
  <r>
    <x v="2"/>
    <x v="2"/>
    <n v="64"/>
  </r>
  <r>
    <x v="2"/>
    <x v="3"/>
    <n v="51"/>
  </r>
  <r>
    <x v="2"/>
    <x v="4"/>
    <n v="59"/>
  </r>
  <r>
    <x v="2"/>
    <x v="6"/>
    <n v="53"/>
  </r>
  <r>
    <x v="2"/>
    <x v="0"/>
    <n v="58"/>
  </r>
  <r>
    <x v="2"/>
    <x v="5"/>
    <n v="84"/>
  </r>
  <r>
    <x v="0"/>
    <x v="9"/>
    <n v="27"/>
  </r>
  <r>
    <x v="0"/>
    <x v="8"/>
    <n v="26"/>
  </r>
  <r>
    <x v="0"/>
    <x v="10"/>
    <n v="24"/>
  </r>
  <r>
    <x v="0"/>
    <x v="11"/>
    <n v="30"/>
  </r>
  <r>
    <x v="0"/>
    <x v="7"/>
    <n v="34"/>
  </r>
  <r>
    <x v="0"/>
    <x v="6"/>
    <n v="39"/>
  </r>
  <r>
    <x v="3"/>
    <x v="8"/>
    <n v="290"/>
  </r>
  <r>
    <x v="3"/>
    <x v="11"/>
    <n v="349"/>
  </r>
  <r>
    <x v="3"/>
    <x v="1"/>
    <n v="372"/>
  </r>
  <r>
    <x v="3"/>
    <x v="3"/>
    <n v="401"/>
  </r>
  <r>
    <x v="3"/>
    <x v="2"/>
    <n v="410"/>
  </r>
  <r>
    <x v="3"/>
    <x v="6"/>
    <n v="376"/>
  </r>
  <r>
    <x v="3"/>
    <x v="4"/>
    <n v="389"/>
  </r>
  <r>
    <x v="4"/>
    <x v="7"/>
    <n v="50"/>
  </r>
  <r>
    <x v="4"/>
    <x v="1"/>
    <n v="41"/>
  </r>
  <r>
    <x v="4"/>
    <x v="11"/>
    <n v="31"/>
  </r>
  <r>
    <x v="4"/>
    <x v="2"/>
    <n v="41"/>
  </r>
  <r>
    <x v="4"/>
    <x v="6"/>
    <n v="42"/>
  </r>
  <r>
    <x v="4"/>
    <x v="4"/>
    <n v="45"/>
  </r>
  <r>
    <x v="4"/>
    <x v="3"/>
    <n v="49"/>
  </r>
  <r>
    <x v="4"/>
    <x v="8"/>
    <n v="19"/>
  </r>
  <r>
    <x v="4"/>
    <x v="10"/>
    <n v="39"/>
  </r>
  <r>
    <x v="4"/>
    <x v="5"/>
    <n v="53"/>
  </r>
  <r>
    <x v="5"/>
    <x v="11"/>
    <n v="5"/>
  </r>
  <r>
    <x v="6"/>
    <x v="8"/>
    <n v="36"/>
  </r>
  <r>
    <x v="6"/>
    <x v="9"/>
    <n v="36"/>
  </r>
  <r>
    <x v="6"/>
    <x v="10"/>
    <n v="45"/>
  </r>
  <r>
    <x v="6"/>
    <x v="11"/>
    <n v="50"/>
  </r>
  <r>
    <x v="3"/>
    <x v="5"/>
    <n v="453"/>
  </r>
  <r>
    <x v="3"/>
    <x v="0"/>
    <n v="399"/>
  </r>
  <r>
    <x v="3"/>
    <x v="10"/>
    <n v="346"/>
  </r>
  <r>
    <x v="3"/>
    <x v="7"/>
    <n v="400"/>
  </r>
  <r>
    <x v="3"/>
    <x v="9"/>
    <n v="277"/>
  </r>
  <r>
    <x v="7"/>
    <x v="9"/>
    <n v="11"/>
  </r>
  <r>
    <x v="7"/>
    <x v="8"/>
    <n v="16"/>
  </r>
  <r>
    <x v="7"/>
    <x v="10"/>
    <n v="21"/>
  </r>
  <r>
    <x v="7"/>
    <x v="11"/>
    <n v="12"/>
  </r>
  <r>
    <x v="7"/>
    <x v="7"/>
    <n v="23"/>
  </r>
  <r>
    <x v="7"/>
    <x v="1"/>
    <n v="16"/>
  </r>
  <r>
    <x v="7"/>
    <x v="2"/>
    <n v="25"/>
  </r>
  <r>
    <x v="7"/>
    <x v="3"/>
    <n v="26"/>
  </r>
  <r>
    <x v="8"/>
    <x v="8"/>
    <n v="5"/>
  </r>
  <r>
    <x v="8"/>
    <x v="10"/>
    <n v="8"/>
  </r>
  <r>
    <x v="8"/>
    <x v="11"/>
    <n v="7"/>
  </r>
  <r>
    <x v="9"/>
    <x v="10"/>
    <n v="5"/>
  </r>
  <r>
    <x v="10"/>
    <x v="9"/>
    <n v="18"/>
  </r>
  <r>
    <x v="10"/>
    <x v="8"/>
    <n v="12"/>
  </r>
  <r>
    <x v="10"/>
    <x v="10"/>
    <n v="15"/>
  </r>
  <r>
    <x v="10"/>
    <x v="11"/>
    <n v="21"/>
  </r>
  <r>
    <x v="10"/>
    <x v="5"/>
    <n v="23"/>
  </r>
  <r>
    <x v="10"/>
    <x v="6"/>
    <n v="21"/>
  </r>
  <r>
    <x v="11"/>
    <x v="2"/>
    <n v="114"/>
  </r>
  <r>
    <x v="11"/>
    <x v="1"/>
    <n v="115"/>
  </r>
  <r>
    <x v="11"/>
    <x v="8"/>
    <n v="88"/>
  </r>
  <r>
    <x v="11"/>
    <x v="11"/>
    <n v="114"/>
  </r>
  <r>
    <x v="11"/>
    <x v="3"/>
    <n v="134"/>
  </r>
  <r>
    <x v="11"/>
    <x v="7"/>
    <n v="124"/>
  </r>
  <r>
    <x v="12"/>
    <x v="4"/>
    <n v="6"/>
  </r>
  <r>
    <x v="13"/>
    <x v="7"/>
    <n v="2"/>
  </r>
  <r>
    <x v="13"/>
    <x v="1"/>
    <n v="2"/>
  </r>
  <r>
    <x v="13"/>
    <x v="8"/>
    <n v="3"/>
  </r>
  <r>
    <x v="13"/>
    <x v="6"/>
    <n v="1"/>
  </r>
  <r>
    <x v="6"/>
    <x v="6"/>
    <n v="37"/>
  </r>
  <r>
    <x v="4"/>
    <x v="0"/>
    <n v="38"/>
  </r>
  <r>
    <x v="14"/>
    <x v="8"/>
    <n v="88"/>
  </r>
  <r>
    <x v="14"/>
    <x v="10"/>
    <n v="132"/>
  </r>
  <r>
    <x v="14"/>
    <x v="11"/>
    <n v="98"/>
  </r>
  <r>
    <x v="14"/>
    <x v="7"/>
    <n v="109"/>
  </r>
  <r>
    <x v="14"/>
    <x v="1"/>
    <n v="115"/>
  </r>
  <r>
    <x v="14"/>
    <x v="9"/>
    <n v="87"/>
  </r>
  <r>
    <x v="11"/>
    <x v="9"/>
    <n v="82"/>
  </r>
  <r>
    <x v="15"/>
    <x v="9"/>
    <n v="8"/>
  </r>
  <r>
    <x v="6"/>
    <x v="7"/>
    <n v="55"/>
  </r>
  <r>
    <x v="6"/>
    <x v="1"/>
    <n v="32"/>
  </r>
  <r>
    <x v="6"/>
    <x v="2"/>
    <n v="57"/>
  </r>
  <r>
    <x v="6"/>
    <x v="3"/>
    <n v="25"/>
  </r>
  <r>
    <x v="16"/>
    <x v="3"/>
    <n v="8"/>
  </r>
  <r>
    <x v="6"/>
    <x v="0"/>
    <n v="34"/>
  </r>
  <r>
    <x v="1"/>
    <x v="9"/>
    <n v="8"/>
  </r>
  <r>
    <x v="1"/>
    <x v="8"/>
    <n v="6"/>
  </r>
  <r>
    <x v="1"/>
    <x v="10"/>
    <n v="7"/>
  </r>
  <r>
    <x v="1"/>
    <x v="11"/>
    <n v="14"/>
  </r>
  <r>
    <x v="1"/>
    <x v="7"/>
    <n v="17"/>
  </r>
  <r>
    <x v="8"/>
    <x v="6"/>
    <n v="4"/>
  </r>
  <r>
    <x v="11"/>
    <x v="10"/>
    <n v="84"/>
  </r>
  <r>
    <x v="14"/>
    <x v="3"/>
    <n v="124"/>
  </r>
  <r>
    <x v="11"/>
    <x v="4"/>
    <n v="114"/>
  </r>
  <r>
    <x v="10"/>
    <x v="7"/>
    <n v="23"/>
  </r>
  <r>
    <x v="10"/>
    <x v="1"/>
    <n v="18"/>
  </r>
  <r>
    <x v="8"/>
    <x v="7"/>
    <n v="8"/>
  </r>
  <r>
    <x v="10"/>
    <x v="2"/>
    <n v="16"/>
  </r>
  <r>
    <x v="8"/>
    <x v="1"/>
    <n v="9"/>
  </r>
  <r>
    <x v="8"/>
    <x v="2"/>
    <n v="7"/>
  </r>
  <r>
    <x v="8"/>
    <x v="3"/>
    <n v="5"/>
  </r>
  <r>
    <x v="10"/>
    <x v="4"/>
    <n v="15"/>
  </r>
  <r>
    <x v="10"/>
    <x v="3"/>
    <n v="21"/>
  </r>
  <r>
    <x v="8"/>
    <x v="4"/>
    <n v="12"/>
  </r>
  <r>
    <x v="8"/>
    <x v="5"/>
    <n v="14"/>
  </r>
  <r>
    <x v="8"/>
    <x v="0"/>
    <n v="8"/>
  </r>
  <r>
    <x v="10"/>
    <x v="0"/>
    <n v="9"/>
  </r>
  <r>
    <x v="5"/>
    <x v="2"/>
    <n v="5"/>
  </r>
  <r>
    <x v="5"/>
    <x v="3"/>
    <n v="9"/>
  </r>
  <r>
    <x v="6"/>
    <x v="4"/>
    <n v="45"/>
  </r>
  <r>
    <x v="6"/>
    <x v="5"/>
    <n v="50"/>
  </r>
  <r>
    <x v="4"/>
    <x v="9"/>
    <n v="33"/>
  </r>
  <r>
    <x v="14"/>
    <x v="0"/>
    <n v="97"/>
  </r>
  <r>
    <x v="14"/>
    <x v="6"/>
    <n v="112"/>
  </r>
  <r>
    <x v="17"/>
    <x v="8"/>
    <n v="5"/>
  </r>
  <r>
    <x v="17"/>
    <x v="10"/>
    <n v="4"/>
  </r>
  <r>
    <x v="17"/>
    <x v="11"/>
    <n v="11"/>
  </r>
  <r>
    <x v="17"/>
    <x v="2"/>
    <n v="11"/>
  </r>
  <r>
    <x v="15"/>
    <x v="3"/>
    <n v="4"/>
  </r>
  <r>
    <x v="15"/>
    <x v="5"/>
    <n v="15"/>
  </r>
  <r>
    <x v="15"/>
    <x v="0"/>
    <n v="5"/>
  </r>
  <r>
    <x v="15"/>
    <x v="4"/>
    <n v="8"/>
  </r>
  <r>
    <x v="7"/>
    <x v="4"/>
    <n v="37"/>
  </r>
  <r>
    <x v="7"/>
    <x v="0"/>
    <n v="18"/>
  </r>
  <r>
    <x v="7"/>
    <x v="5"/>
    <n v="18"/>
  </r>
  <r>
    <x v="7"/>
    <x v="6"/>
    <n v="19"/>
  </r>
  <r>
    <x v="18"/>
    <x v="2"/>
    <n v="8"/>
  </r>
  <r>
    <x v="18"/>
    <x v="10"/>
    <n v="4"/>
  </r>
  <r>
    <x v="19"/>
    <x v="10"/>
    <n v="6"/>
  </r>
  <r>
    <x v="19"/>
    <x v="11"/>
    <n v="12"/>
  </r>
  <r>
    <x v="16"/>
    <x v="9"/>
    <n v="4"/>
  </r>
  <r>
    <x v="19"/>
    <x v="1"/>
    <n v="14"/>
  </r>
  <r>
    <x v="19"/>
    <x v="2"/>
    <n v="16"/>
  </r>
  <r>
    <x v="16"/>
    <x v="7"/>
    <n v="10"/>
  </r>
  <r>
    <x v="19"/>
    <x v="3"/>
    <n v="15"/>
  </r>
  <r>
    <x v="15"/>
    <x v="1"/>
    <n v="9"/>
  </r>
  <r>
    <x v="15"/>
    <x v="8"/>
    <n v="7"/>
  </r>
  <r>
    <x v="16"/>
    <x v="2"/>
    <n v="7"/>
  </r>
  <r>
    <x v="19"/>
    <x v="0"/>
    <n v="7"/>
  </r>
  <r>
    <x v="16"/>
    <x v="1"/>
    <n v="3"/>
  </r>
  <r>
    <x v="16"/>
    <x v="5"/>
    <n v="6"/>
  </r>
  <r>
    <x v="16"/>
    <x v="4"/>
    <n v="4"/>
  </r>
  <r>
    <x v="16"/>
    <x v="8"/>
    <n v="2"/>
  </r>
  <r>
    <x v="16"/>
    <x v="0"/>
    <n v="6"/>
  </r>
  <r>
    <x v="16"/>
    <x v="6"/>
    <n v="6"/>
  </r>
  <r>
    <x v="15"/>
    <x v="2"/>
    <n v="4"/>
  </r>
  <r>
    <x v="11"/>
    <x v="5"/>
    <n v="114"/>
  </r>
  <r>
    <x v="20"/>
    <x v="5"/>
    <n v="10"/>
  </r>
  <r>
    <x v="14"/>
    <x v="4"/>
    <n v="135"/>
  </r>
  <r>
    <x v="17"/>
    <x v="5"/>
    <n v="16"/>
  </r>
  <r>
    <x v="17"/>
    <x v="0"/>
    <n v="11"/>
  </r>
  <r>
    <x v="17"/>
    <x v="6"/>
    <n v="11"/>
  </r>
  <r>
    <x v="11"/>
    <x v="0"/>
    <n v="116"/>
  </r>
  <r>
    <x v="21"/>
    <x v="9"/>
    <n v="6"/>
  </r>
  <r>
    <x v="15"/>
    <x v="10"/>
    <n v="5"/>
  </r>
  <r>
    <x v="15"/>
    <x v="11"/>
    <n v="6"/>
  </r>
  <r>
    <x v="15"/>
    <x v="7"/>
    <n v="7"/>
  </r>
  <r>
    <x v="5"/>
    <x v="7"/>
    <n v="10"/>
  </r>
  <r>
    <x v="5"/>
    <x v="4"/>
    <n v="9"/>
  </r>
  <r>
    <x v="5"/>
    <x v="5"/>
    <n v="10"/>
  </r>
  <r>
    <x v="5"/>
    <x v="6"/>
    <n v="10"/>
  </r>
  <r>
    <x v="21"/>
    <x v="11"/>
    <n v="5"/>
  </r>
  <r>
    <x v="21"/>
    <x v="8"/>
    <n v="3"/>
  </r>
  <r>
    <x v="21"/>
    <x v="1"/>
    <n v="6"/>
  </r>
  <r>
    <x v="21"/>
    <x v="7"/>
    <n v="5"/>
  </r>
  <r>
    <x v="21"/>
    <x v="4"/>
    <n v="6"/>
  </r>
  <r>
    <x v="21"/>
    <x v="0"/>
    <n v="7"/>
  </r>
  <r>
    <x v="21"/>
    <x v="5"/>
    <n v="5"/>
  </r>
  <r>
    <x v="21"/>
    <x v="6"/>
    <n v="6"/>
  </r>
  <r>
    <x v="21"/>
    <x v="3"/>
    <n v="5"/>
  </r>
  <r>
    <x v="21"/>
    <x v="2"/>
    <n v="8"/>
  </r>
  <r>
    <x v="5"/>
    <x v="8"/>
    <n v="7"/>
  </r>
  <r>
    <x v="5"/>
    <x v="10"/>
    <n v="9"/>
  </r>
  <r>
    <x v="5"/>
    <x v="1"/>
    <n v="4"/>
  </r>
  <r>
    <x v="15"/>
    <x v="6"/>
    <n v="11"/>
  </r>
  <r>
    <x v="11"/>
    <x v="6"/>
    <n v="108"/>
  </r>
  <r>
    <x v="17"/>
    <x v="9"/>
    <n v="4"/>
  </r>
  <r>
    <x v="20"/>
    <x v="11"/>
    <n v="10"/>
  </r>
  <r>
    <x v="17"/>
    <x v="7"/>
    <n v="5"/>
  </r>
  <r>
    <x v="20"/>
    <x v="1"/>
    <n v="7"/>
  </r>
  <r>
    <x v="17"/>
    <x v="1"/>
    <n v="12"/>
  </r>
  <r>
    <x v="17"/>
    <x v="3"/>
    <n v="5"/>
  </r>
  <r>
    <x v="14"/>
    <x v="2"/>
    <n v="128"/>
  </r>
  <r>
    <x v="22"/>
    <x v="0"/>
    <n v="37"/>
  </r>
  <r>
    <x v="22"/>
    <x v="6"/>
    <n v="40"/>
  </r>
  <r>
    <x v="14"/>
    <x v="5"/>
    <n v="133"/>
  </r>
  <r>
    <x v="23"/>
    <x v="3"/>
    <n v="16"/>
  </r>
  <r>
    <x v="23"/>
    <x v="5"/>
    <n v="17"/>
  </r>
  <r>
    <x v="22"/>
    <x v="5"/>
    <n v="43"/>
  </r>
  <r>
    <x v="22"/>
    <x v="3"/>
    <n v="49"/>
  </r>
  <r>
    <x v="24"/>
    <x v="5"/>
    <n v="76"/>
  </r>
  <r>
    <x v="25"/>
    <x v="9"/>
    <n v="74"/>
  </r>
  <r>
    <x v="24"/>
    <x v="0"/>
    <n v="58"/>
  </r>
  <r>
    <x v="26"/>
    <x v="2"/>
    <n v="192"/>
  </r>
  <r>
    <x v="26"/>
    <x v="3"/>
    <n v="175"/>
  </r>
  <r>
    <x v="26"/>
    <x v="1"/>
    <n v="160"/>
  </r>
  <r>
    <x v="24"/>
    <x v="6"/>
    <n v="68"/>
  </r>
  <r>
    <x v="24"/>
    <x v="4"/>
    <n v="80"/>
  </r>
  <r>
    <x v="26"/>
    <x v="4"/>
    <n v="170"/>
  </r>
  <r>
    <x v="20"/>
    <x v="9"/>
    <n v="10"/>
  </r>
  <r>
    <x v="20"/>
    <x v="8"/>
    <n v="4"/>
  </r>
  <r>
    <x v="20"/>
    <x v="10"/>
    <n v="6"/>
  </r>
  <r>
    <x v="20"/>
    <x v="7"/>
    <n v="8"/>
  </r>
  <r>
    <x v="27"/>
    <x v="4"/>
    <n v="98"/>
  </r>
  <r>
    <x v="28"/>
    <x v="7"/>
    <n v="21"/>
  </r>
  <r>
    <x v="28"/>
    <x v="1"/>
    <n v="28"/>
  </r>
  <r>
    <x v="28"/>
    <x v="3"/>
    <n v="20"/>
  </r>
  <r>
    <x v="28"/>
    <x v="4"/>
    <n v="17"/>
  </r>
  <r>
    <x v="27"/>
    <x v="8"/>
    <n v="63"/>
  </r>
  <r>
    <x v="28"/>
    <x v="5"/>
    <n v="20"/>
  </r>
  <r>
    <x v="25"/>
    <x v="10"/>
    <n v="114"/>
  </r>
  <r>
    <x v="28"/>
    <x v="6"/>
    <n v="24"/>
  </r>
  <r>
    <x v="25"/>
    <x v="8"/>
    <n v="73"/>
  </r>
  <r>
    <x v="25"/>
    <x v="7"/>
    <n v="110"/>
  </r>
  <r>
    <x v="25"/>
    <x v="1"/>
    <n v="95"/>
  </r>
  <r>
    <x v="27"/>
    <x v="11"/>
    <n v="72"/>
  </r>
  <r>
    <x v="25"/>
    <x v="2"/>
    <n v="123"/>
  </r>
  <r>
    <x v="25"/>
    <x v="3"/>
    <n v="91"/>
  </r>
  <r>
    <x v="28"/>
    <x v="8"/>
    <n v="13"/>
  </r>
  <r>
    <x v="28"/>
    <x v="9"/>
    <n v="11"/>
  </r>
  <r>
    <x v="27"/>
    <x v="2"/>
    <n v="69"/>
  </r>
  <r>
    <x v="25"/>
    <x v="4"/>
    <n v="117"/>
  </r>
  <r>
    <x v="29"/>
    <x v="10"/>
    <n v="11"/>
  </r>
  <r>
    <x v="8"/>
    <x v="9"/>
    <n v="5"/>
  </r>
  <r>
    <x v="27"/>
    <x v="10"/>
    <n v="69"/>
  </r>
  <r>
    <x v="27"/>
    <x v="9"/>
    <n v="59"/>
  </r>
  <r>
    <x v="27"/>
    <x v="1"/>
    <n v="78"/>
  </r>
  <r>
    <x v="25"/>
    <x v="11"/>
    <n v="104"/>
  </r>
  <r>
    <x v="27"/>
    <x v="5"/>
    <n v="80"/>
  </r>
  <r>
    <x v="24"/>
    <x v="2"/>
    <n v="60"/>
  </r>
  <r>
    <x v="27"/>
    <x v="6"/>
    <n v="77"/>
  </r>
  <r>
    <x v="22"/>
    <x v="9"/>
    <n v="31"/>
  </r>
  <r>
    <x v="22"/>
    <x v="8"/>
    <n v="32"/>
  </r>
  <r>
    <x v="22"/>
    <x v="10"/>
    <n v="32"/>
  </r>
  <r>
    <x v="22"/>
    <x v="7"/>
    <n v="38"/>
  </r>
  <r>
    <x v="25"/>
    <x v="5"/>
    <n v="129"/>
  </r>
  <r>
    <x v="30"/>
    <x v="11"/>
    <n v="20"/>
  </r>
  <r>
    <x v="30"/>
    <x v="1"/>
    <n v="19"/>
  </r>
  <r>
    <x v="30"/>
    <x v="2"/>
    <n v="20"/>
  </r>
  <r>
    <x v="31"/>
    <x v="2"/>
    <n v="3"/>
  </r>
  <r>
    <x v="30"/>
    <x v="9"/>
    <n v="17"/>
  </r>
  <r>
    <x v="30"/>
    <x v="8"/>
    <n v="16"/>
  </r>
  <r>
    <x v="30"/>
    <x v="10"/>
    <n v="19"/>
  </r>
  <r>
    <x v="24"/>
    <x v="11"/>
    <n v="39"/>
  </r>
  <r>
    <x v="26"/>
    <x v="0"/>
    <n v="169"/>
  </r>
  <r>
    <x v="24"/>
    <x v="7"/>
    <n v="43"/>
  </r>
  <r>
    <x v="24"/>
    <x v="1"/>
    <n v="61"/>
  </r>
  <r>
    <x v="26"/>
    <x v="6"/>
    <n v="153"/>
  </r>
  <r>
    <x v="26"/>
    <x v="5"/>
    <n v="188"/>
  </r>
  <r>
    <x v="22"/>
    <x v="11"/>
    <n v="42"/>
  </r>
  <r>
    <x v="22"/>
    <x v="1"/>
    <n v="33"/>
  </r>
  <r>
    <x v="22"/>
    <x v="2"/>
    <n v="42"/>
  </r>
  <r>
    <x v="22"/>
    <x v="4"/>
    <n v="53"/>
  </r>
  <r>
    <x v="25"/>
    <x v="0"/>
    <n v="118"/>
  </r>
  <r>
    <x v="25"/>
    <x v="6"/>
    <n v="100"/>
  </r>
  <r>
    <x v="24"/>
    <x v="9"/>
    <n v="54"/>
  </r>
  <r>
    <x v="24"/>
    <x v="8"/>
    <n v="51"/>
  </r>
  <r>
    <x v="30"/>
    <x v="7"/>
    <n v="24"/>
  </r>
  <r>
    <x v="30"/>
    <x v="4"/>
    <n v="15"/>
  </r>
  <r>
    <x v="30"/>
    <x v="3"/>
    <n v="23"/>
  </r>
  <r>
    <x v="30"/>
    <x v="6"/>
    <n v="18"/>
  </r>
  <r>
    <x v="23"/>
    <x v="9"/>
    <n v="8"/>
  </r>
  <r>
    <x v="23"/>
    <x v="10"/>
    <n v="12"/>
  </r>
  <r>
    <x v="23"/>
    <x v="11"/>
    <n v="13"/>
  </r>
  <r>
    <x v="23"/>
    <x v="4"/>
    <n v="21"/>
  </r>
  <r>
    <x v="23"/>
    <x v="0"/>
    <n v="12"/>
  </r>
  <r>
    <x v="27"/>
    <x v="3"/>
    <n v="91"/>
  </r>
  <r>
    <x v="27"/>
    <x v="0"/>
    <n v="71"/>
  </r>
  <r>
    <x v="24"/>
    <x v="3"/>
    <n v="57"/>
  </r>
  <r>
    <x v="27"/>
    <x v="7"/>
    <n v="88"/>
  </r>
  <r>
    <x v="30"/>
    <x v="0"/>
    <n v="12"/>
  </r>
  <r>
    <x v="30"/>
    <x v="5"/>
    <n v="16"/>
  </r>
  <r>
    <x v="23"/>
    <x v="8"/>
    <n v="10"/>
  </r>
  <r>
    <x v="23"/>
    <x v="7"/>
    <n v="14"/>
  </r>
  <r>
    <x v="23"/>
    <x v="6"/>
    <n v="21"/>
  </r>
  <r>
    <x v="31"/>
    <x v="4"/>
    <n v="3"/>
  </r>
  <r>
    <x v="31"/>
    <x v="9"/>
    <n v="1"/>
  </r>
  <r>
    <x v="32"/>
    <x v="8"/>
    <n v="2"/>
  </r>
  <r>
    <x v="32"/>
    <x v="10"/>
    <n v="1"/>
  </r>
  <r>
    <x v="32"/>
    <x v="7"/>
    <n v="1"/>
  </r>
  <r>
    <x v="32"/>
    <x v="1"/>
    <n v="3"/>
  </r>
  <r>
    <x v="29"/>
    <x v="2"/>
    <n v="22"/>
  </r>
  <r>
    <x v="29"/>
    <x v="4"/>
    <n v="18"/>
  </r>
  <r>
    <x v="29"/>
    <x v="6"/>
    <n v="11"/>
  </r>
  <r>
    <x v="33"/>
    <x v="8"/>
    <n v="18"/>
  </r>
  <r>
    <x v="33"/>
    <x v="10"/>
    <n v="22"/>
  </r>
  <r>
    <x v="34"/>
    <x v="4"/>
    <n v="23"/>
  </r>
  <r>
    <x v="33"/>
    <x v="11"/>
    <n v="18"/>
  </r>
  <r>
    <x v="35"/>
    <x v="6"/>
    <n v="40"/>
  </r>
  <r>
    <x v="32"/>
    <x v="3"/>
    <n v="2"/>
  </r>
  <r>
    <x v="36"/>
    <x v="0"/>
    <n v="20"/>
  </r>
  <r>
    <x v="32"/>
    <x v="4"/>
    <n v="4"/>
  </r>
  <r>
    <x v="32"/>
    <x v="5"/>
    <n v="8"/>
  </r>
  <r>
    <x v="26"/>
    <x v="9"/>
    <n v="130"/>
  </r>
  <r>
    <x v="26"/>
    <x v="8"/>
    <n v="131"/>
  </r>
  <r>
    <x v="36"/>
    <x v="6"/>
    <n v="24"/>
  </r>
  <r>
    <x v="26"/>
    <x v="11"/>
    <n v="135"/>
  </r>
  <r>
    <x v="26"/>
    <x v="10"/>
    <n v="157"/>
  </r>
  <r>
    <x v="37"/>
    <x v="10"/>
    <n v="32"/>
  </r>
  <r>
    <x v="37"/>
    <x v="8"/>
    <n v="33"/>
  </r>
  <r>
    <x v="37"/>
    <x v="7"/>
    <n v="33"/>
  </r>
  <r>
    <x v="37"/>
    <x v="1"/>
    <n v="32"/>
  </r>
  <r>
    <x v="37"/>
    <x v="2"/>
    <n v="42"/>
  </r>
  <r>
    <x v="35"/>
    <x v="3"/>
    <n v="45"/>
  </r>
  <r>
    <x v="37"/>
    <x v="3"/>
    <n v="42"/>
  </r>
  <r>
    <x v="34"/>
    <x v="11"/>
    <n v="22"/>
  </r>
  <r>
    <x v="24"/>
    <x v="10"/>
    <n v="51"/>
  </r>
  <r>
    <x v="36"/>
    <x v="4"/>
    <n v="23"/>
  </r>
  <r>
    <x v="36"/>
    <x v="5"/>
    <n v="23"/>
  </r>
  <r>
    <x v="26"/>
    <x v="7"/>
    <n v="183"/>
  </r>
  <r>
    <x v="23"/>
    <x v="1"/>
    <n v="16"/>
  </r>
  <r>
    <x v="23"/>
    <x v="2"/>
    <n v="9"/>
  </r>
  <r>
    <x v="33"/>
    <x v="3"/>
    <n v="31"/>
  </r>
  <r>
    <x v="33"/>
    <x v="4"/>
    <n v="22"/>
  </r>
  <r>
    <x v="33"/>
    <x v="5"/>
    <n v="21"/>
  </r>
  <r>
    <x v="33"/>
    <x v="0"/>
    <n v="23"/>
  </r>
  <r>
    <x v="33"/>
    <x v="6"/>
    <n v="26"/>
  </r>
  <r>
    <x v="34"/>
    <x v="3"/>
    <n v="29"/>
  </r>
  <r>
    <x v="35"/>
    <x v="8"/>
    <n v="33"/>
  </r>
  <r>
    <x v="35"/>
    <x v="10"/>
    <n v="35"/>
  </r>
  <r>
    <x v="35"/>
    <x v="11"/>
    <n v="36"/>
  </r>
  <r>
    <x v="35"/>
    <x v="7"/>
    <n v="31"/>
  </r>
  <r>
    <x v="35"/>
    <x v="2"/>
    <n v="38"/>
  </r>
  <r>
    <x v="35"/>
    <x v="4"/>
    <n v="33"/>
  </r>
  <r>
    <x v="33"/>
    <x v="9"/>
    <n v="24"/>
  </r>
  <r>
    <x v="35"/>
    <x v="5"/>
    <n v="39"/>
  </r>
  <r>
    <x v="38"/>
    <x v="9"/>
    <n v="24"/>
  </r>
  <r>
    <x v="38"/>
    <x v="10"/>
    <n v="22"/>
  </r>
  <r>
    <x v="38"/>
    <x v="8"/>
    <n v="13"/>
  </r>
  <r>
    <x v="38"/>
    <x v="11"/>
    <n v="16"/>
  </r>
  <r>
    <x v="38"/>
    <x v="7"/>
    <n v="20"/>
  </r>
  <r>
    <x v="38"/>
    <x v="1"/>
    <n v="31"/>
  </r>
  <r>
    <x v="38"/>
    <x v="2"/>
    <n v="32"/>
  </r>
  <r>
    <x v="38"/>
    <x v="4"/>
    <n v="26"/>
  </r>
  <r>
    <x v="38"/>
    <x v="3"/>
    <n v="20"/>
  </r>
  <r>
    <x v="38"/>
    <x v="6"/>
    <n v="21"/>
  </r>
  <r>
    <x v="29"/>
    <x v="11"/>
    <n v="12"/>
  </r>
  <r>
    <x v="39"/>
    <x v="11"/>
    <n v="16"/>
  </r>
  <r>
    <x v="40"/>
    <x v="11"/>
    <n v="3"/>
  </r>
  <r>
    <x v="36"/>
    <x v="10"/>
    <n v="26"/>
  </r>
  <r>
    <x v="29"/>
    <x v="1"/>
    <n v="17"/>
  </r>
  <r>
    <x v="36"/>
    <x v="1"/>
    <n v="24"/>
  </r>
  <r>
    <x v="36"/>
    <x v="2"/>
    <n v="28"/>
  </r>
  <r>
    <x v="28"/>
    <x v="11"/>
    <n v="19"/>
  </r>
  <r>
    <x v="37"/>
    <x v="4"/>
    <n v="30"/>
  </r>
  <r>
    <x v="37"/>
    <x v="5"/>
    <n v="40"/>
  </r>
  <r>
    <x v="37"/>
    <x v="0"/>
    <n v="36"/>
  </r>
  <r>
    <x v="37"/>
    <x v="6"/>
    <n v="40"/>
  </r>
  <r>
    <x v="34"/>
    <x v="0"/>
    <n v="15"/>
  </r>
  <r>
    <x v="37"/>
    <x v="11"/>
    <n v="30"/>
  </r>
  <r>
    <x v="41"/>
    <x v="10"/>
    <n v="23"/>
  </r>
  <r>
    <x v="41"/>
    <x v="11"/>
    <n v="22"/>
  </r>
  <r>
    <x v="38"/>
    <x v="5"/>
    <n v="29"/>
  </r>
  <r>
    <x v="28"/>
    <x v="0"/>
    <n v="17"/>
  </r>
  <r>
    <x v="28"/>
    <x v="10"/>
    <n v="19"/>
  </r>
  <r>
    <x v="28"/>
    <x v="2"/>
    <n v="20"/>
  </r>
  <r>
    <x v="40"/>
    <x v="9"/>
    <n v="3"/>
  </r>
  <r>
    <x v="40"/>
    <x v="8"/>
    <n v="3"/>
  </r>
  <r>
    <x v="40"/>
    <x v="10"/>
    <n v="2"/>
  </r>
  <r>
    <x v="40"/>
    <x v="7"/>
    <n v="2"/>
  </r>
  <r>
    <x v="40"/>
    <x v="1"/>
    <n v="6"/>
  </r>
  <r>
    <x v="9"/>
    <x v="5"/>
    <n v="12"/>
  </r>
  <r>
    <x v="40"/>
    <x v="2"/>
    <n v="4"/>
  </r>
  <r>
    <x v="9"/>
    <x v="4"/>
    <n v="4"/>
  </r>
  <r>
    <x v="40"/>
    <x v="3"/>
    <n v="1"/>
  </r>
  <r>
    <x v="42"/>
    <x v="4"/>
    <n v="1"/>
  </r>
  <r>
    <x v="9"/>
    <x v="0"/>
    <n v="5"/>
  </r>
  <r>
    <x v="40"/>
    <x v="4"/>
    <n v="2"/>
  </r>
  <r>
    <x v="40"/>
    <x v="5"/>
    <n v="4"/>
  </r>
  <r>
    <x v="9"/>
    <x v="6"/>
    <n v="7"/>
  </r>
  <r>
    <x v="40"/>
    <x v="0"/>
    <n v="5"/>
  </r>
  <r>
    <x v="40"/>
    <x v="6"/>
    <n v="2"/>
  </r>
  <r>
    <x v="43"/>
    <x v="8"/>
    <n v="8"/>
  </r>
  <r>
    <x v="43"/>
    <x v="10"/>
    <n v="5"/>
  </r>
  <r>
    <x v="44"/>
    <x v="1"/>
    <n v="6"/>
  </r>
  <r>
    <x v="44"/>
    <x v="2"/>
    <n v="11"/>
  </r>
  <r>
    <x v="44"/>
    <x v="3"/>
    <n v="4"/>
  </r>
  <r>
    <x v="44"/>
    <x v="4"/>
    <n v="9"/>
  </r>
  <r>
    <x v="44"/>
    <x v="5"/>
    <n v="11"/>
  </r>
  <r>
    <x v="44"/>
    <x v="0"/>
    <n v="2"/>
  </r>
  <r>
    <x v="44"/>
    <x v="6"/>
    <n v="2"/>
  </r>
  <r>
    <x v="43"/>
    <x v="4"/>
    <n v="19"/>
  </r>
  <r>
    <x v="43"/>
    <x v="2"/>
    <n v="12"/>
  </r>
  <r>
    <x v="43"/>
    <x v="0"/>
    <n v="10"/>
  </r>
  <r>
    <x v="43"/>
    <x v="6"/>
    <n v="13"/>
  </r>
  <r>
    <x v="43"/>
    <x v="5"/>
    <n v="9"/>
  </r>
  <r>
    <x v="36"/>
    <x v="8"/>
    <n v="16"/>
  </r>
  <r>
    <x v="34"/>
    <x v="10"/>
    <n v="25"/>
  </r>
  <r>
    <x v="36"/>
    <x v="11"/>
    <n v="22"/>
  </r>
  <r>
    <x v="34"/>
    <x v="7"/>
    <n v="21"/>
  </r>
  <r>
    <x v="36"/>
    <x v="7"/>
    <n v="17"/>
  </r>
  <r>
    <x v="9"/>
    <x v="9"/>
    <n v="4"/>
  </r>
  <r>
    <x v="9"/>
    <x v="8"/>
    <n v="5"/>
  </r>
  <r>
    <x v="34"/>
    <x v="2"/>
    <n v="27"/>
  </r>
  <r>
    <x v="36"/>
    <x v="3"/>
    <n v="23"/>
  </r>
  <r>
    <x v="9"/>
    <x v="11"/>
    <n v="7"/>
  </r>
  <r>
    <x v="34"/>
    <x v="5"/>
    <n v="29"/>
  </r>
  <r>
    <x v="9"/>
    <x v="7"/>
    <n v="10"/>
  </r>
  <r>
    <x v="41"/>
    <x v="2"/>
    <n v="25"/>
  </r>
  <r>
    <x v="41"/>
    <x v="1"/>
    <n v="26"/>
  </r>
  <r>
    <x v="45"/>
    <x v="11"/>
    <n v="12"/>
  </r>
  <r>
    <x v="45"/>
    <x v="7"/>
    <n v="10"/>
  </r>
  <r>
    <x v="45"/>
    <x v="1"/>
    <n v="13"/>
  </r>
  <r>
    <x v="45"/>
    <x v="0"/>
    <n v="7"/>
  </r>
  <r>
    <x v="43"/>
    <x v="11"/>
    <n v="13"/>
  </r>
  <r>
    <x v="43"/>
    <x v="3"/>
    <n v="10"/>
  </r>
  <r>
    <x v="43"/>
    <x v="1"/>
    <n v="14"/>
  </r>
  <r>
    <x v="43"/>
    <x v="9"/>
    <n v="9"/>
  </r>
  <r>
    <x v="43"/>
    <x v="7"/>
    <n v="9"/>
  </r>
  <r>
    <x v="20"/>
    <x v="0"/>
    <n v="5"/>
  </r>
  <r>
    <x v="34"/>
    <x v="8"/>
    <n v="16"/>
  </r>
  <r>
    <x v="29"/>
    <x v="9"/>
    <n v="12"/>
  </r>
  <r>
    <x v="35"/>
    <x v="1"/>
    <n v="34"/>
  </r>
  <r>
    <x v="35"/>
    <x v="0"/>
    <n v="34"/>
  </r>
  <r>
    <x v="34"/>
    <x v="6"/>
    <n v="24"/>
  </r>
  <r>
    <x v="36"/>
    <x v="9"/>
    <n v="11"/>
  </r>
  <r>
    <x v="9"/>
    <x v="1"/>
    <n v="5"/>
  </r>
  <r>
    <x v="9"/>
    <x v="2"/>
    <n v="7"/>
  </r>
  <r>
    <x v="9"/>
    <x v="3"/>
    <n v="4"/>
  </r>
  <r>
    <x v="35"/>
    <x v="9"/>
    <n v="34"/>
  </r>
  <r>
    <x v="44"/>
    <x v="9"/>
    <n v="5"/>
  </r>
  <r>
    <x v="44"/>
    <x v="8"/>
    <n v="6"/>
  </r>
  <r>
    <x v="44"/>
    <x v="10"/>
    <n v="7"/>
  </r>
  <r>
    <x v="44"/>
    <x v="11"/>
    <n v="8"/>
  </r>
  <r>
    <x v="44"/>
    <x v="7"/>
    <n v="7"/>
  </r>
  <r>
    <x v="42"/>
    <x v="2"/>
    <n v="2"/>
  </r>
  <r>
    <x v="42"/>
    <x v="3"/>
    <n v="1"/>
  </r>
  <r>
    <x v="42"/>
    <x v="5"/>
    <n v="1"/>
  </r>
  <r>
    <x v="46"/>
    <x v="0"/>
    <n v="7"/>
  </r>
  <r>
    <x v="41"/>
    <x v="3"/>
    <n v="35"/>
  </r>
  <r>
    <x v="41"/>
    <x v="4"/>
    <n v="33"/>
  </r>
  <r>
    <x v="41"/>
    <x v="6"/>
    <n v="19"/>
  </r>
  <r>
    <x v="33"/>
    <x v="7"/>
    <n v="20"/>
  </r>
  <r>
    <x v="33"/>
    <x v="1"/>
    <n v="30"/>
  </r>
  <r>
    <x v="33"/>
    <x v="2"/>
    <n v="28"/>
  </r>
  <r>
    <x v="37"/>
    <x v="9"/>
    <n v="21"/>
  </r>
  <r>
    <x v="41"/>
    <x v="9"/>
    <n v="12"/>
  </r>
  <r>
    <x v="47"/>
    <x v="8"/>
    <n v="1"/>
  </r>
  <r>
    <x v="41"/>
    <x v="8"/>
    <n v="12"/>
  </r>
  <r>
    <x v="48"/>
    <x v="3"/>
    <n v="1"/>
  </r>
  <r>
    <x v="41"/>
    <x v="0"/>
    <n v="38"/>
  </r>
  <r>
    <x v="46"/>
    <x v="9"/>
    <n v="3"/>
  </r>
  <r>
    <x v="46"/>
    <x v="8"/>
    <n v="3"/>
  </r>
  <r>
    <x v="49"/>
    <x v="10"/>
    <n v="4"/>
  </r>
  <r>
    <x v="46"/>
    <x v="10"/>
    <n v="5"/>
  </r>
  <r>
    <x v="48"/>
    <x v="4"/>
    <n v="1"/>
  </r>
  <r>
    <x v="41"/>
    <x v="5"/>
    <n v="38"/>
  </r>
  <r>
    <x v="46"/>
    <x v="11"/>
    <n v="7"/>
  </r>
  <r>
    <x v="48"/>
    <x v="5"/>
    <n v="1"/>
  </r>
  <r>
    <x v="41"/>
    <x v="7"/>
    <n v="33"/>
  </r>
  <r>
    <x v="46"/>
    <x v="4"/>
    <n v="5"/>
  </r>
  <r>
    <x v="46"/>
    <x v="5"/>
    <n v="6"/>
  </r>
  <r>
    <x v="45"/>
    <x v="9"/>
    <n v="12"/>
  </r>
  <r>
    <x v="45"/>
    <x v="8"/>
    <n v="5"/>
  </r>
  <r>
    <x v="45"/>
    <x v="10"/>
    <n v="9"/>
  </r>
  <r>
    <x v="50"/>
    <x v="9"/>
    <n v="1"/>
  </r>
  <r>
    <x v="50"/>
    <x v="8"/>
    <n v="2"/>
  </r>
  <r>
    <x v="50"/>
    <x v="10"/>
    <n v="3"/>
  </r>
  <r>
    <x v="50"/>
    <x v="11"/>
    <n v="4"/>
  </r>
  <r>
    <x v="50"/>
    <x v="7"/>
    <n v="3"/>
  </r>
  <r>
    <x v="50"/>
    <x v="1"/>
    <n v="1"/>
  </r>
  <r>
    <x v="50"/>
    <x v="2"/>
    <n v="7"/>
  </r>
  <r>
    <x v="50"/>
    <x v="3"/>
    <n v="3"/>
  </r>
  <r>
    <x v="50"/>
    <x v="4"/>
    <n v="3"/>
  </r>
  <r>
    <x v="50"/>
    <x v="5"/>
    <n v="4"/>
  </r>
  <r>
    <x v="50"/>
    <x v="0"/>
    <n v="1"/>
  </r>
  <r>
    <x v="46"/>
    <x v="7"/>
    <n v="5"/>
  </r>
  <r>
    <x v="46"/>
    <x v="1"/>
    <n v="6"/>
  </r>
  <r>
    <x v="50"/>
    <x v="6"/>
    <n v="1"/>
  </r>
  <r>
    <x v="20"/>
    <x v="3"/>
    <n v="9"/>
  </r>
  <r>
    <x v="20"/>
    <x v="4"/>
    <n v="6"/>
  </r>
  <r>
    <x v="45"/>
    <x v="5"/>
    <n v="10"/>
  </r>
  <r>
    <x v="5"/>
    <x v="9"/>
    <n v="8"/>
  </r>
  <r>
    <x v="42"/>
    <x v="10"/>
    <n v="1"/>
  </r>
  <r>
    <x v="46"/>
    <x v="6"/>
    <n v="5"/>
  </r>
  <r>
    <x v="46"/>
    <x v="3"/>
    <n v="8"/>
  </r>
  <r>
    <x v="49"/>
    <x v="3"/>
    <n v="3"/>
  </r>
  <r>
    <x v="20"/>
    <x v="2"/>
    <n v="5"/>
  </r>
  <r>
    <x v="38"/>
    <x v="0"/>
    <n v="21"/>
  </r>
  <r>
    <x v="47"/>
    <x v="1"/>
    <n v="1"/>
  </r>
  <r>
    <x v="47"/>
    <x v="3"/>
    <n v="1"/>
  </r>
  <r>
    <x v="19"/>
    <x v="5"/>
    <n v="9"/>
  </r>
  <r>
    <x v="5"/>
    <x v="0"/>
    <n v="3"/>
  </r>
  <r>
    <x v="48"/>
    <x v="0"/>
    <n v="2"/>
  </r>
  <r>
    <x v="48"/>
    <x v="6"/>
    <n v="4"/>
  </r>
  <r>
    <x v="42"/>
    <x v="0"/>
    <n v="1"/>
  </r>
  <r>
    <x v="42"/>
    <x v="6"/>
    <n v="1"/>
  </r>
  <r>
    <x v="45"/>
    <x v="2"/>
    <n v="12"/>
  </r>
  <r>
    <x v="45"/>
    <x v="3"/>
    <n v="15"/>
  </r>
  <r>
    <x v="45"/>
    <x v="4"/>
    <n v="9"/>
  </r>
  <r>
    <x v="46"/>
    <x v="2"/>
    <n v="4"/>
  </r>
  <r>
    <x v="49"/>
    <x v="2"/>
    <n v="5"/>
  </r>
  <r>
    <x v="31"/>
    <x v="3"/>
    <n v="2"/>
  </r>
  <r>
    <x v="51"/>
    <x v="4"/>
    <n v="8"/>
  </r>
  <r>
    <x v="51"/>
    <x v="5"/>
    <n v="4"/>
  </r>
  <r>
    <x v="31"/>
    <x v="5"/>
    <n v="4"/>
  </r>
  <r>
    <x v="51"/>
    <x v="0"/>
    <n v="4"/>
  </r>
  <r>
    <x v="48"/>
    <x v="9"/>
    <n v="1"/>
  </r>
  <r>
    <x v="48"/>
    <x v="11"/>
    <n v="1"/>
  </r>
  <r>
    <x v="48"/>
    <x v="7"/>
    <n v="1"/>
  </r>
  <r>
    <x v="48"/>
    <x v="1"/>
    <n v="3"/>
  </r>
  <r>
    <x v="48"/>
    <x v="2"/>
    <n v="2"/>
  </r>
  <r>
    <x v="39"/>
    <x v="9"/>
    <n v="6"/>
  </r>
  <r>
    <x v="39"/>
    <x v="8"/>
    <n v="7"/>
  </r>
  <r>
    <x v="39"/>
    <x v="10"/>
    <n v="10"/>
  </r>
  <r>
    <x v="29"/>
    <x v="0"/>
    <n v="16"/>
  </r>
  <r>
    <x v="39"/>
    <x v="7"/>
    <n v="12"/>
  </r>
  <r>
    <x v="39"/>
    <x v="2"/>
    <n v="14"/>
  </r>
  <r>
    <x v="39"/>
    <x v="1"/>
    <n v="7"/>
  </r>
  <r>
    <x v="39"/>
    <x v="3"/>
    <n v="12"/>
  </r>
  <r>
    <x v="39"/>
    <x v="5"/>
    <n v="12"/>
  </r>
  <r>
    <x v="39"/>
    <x v="4"/>
    <n v="11"/>
  </r>
  <r>
    <x v="39"/>
    <x v="6"/>
    <n v="6"/>
  </r>
  <r>
    <x v="39"/>
    <x v="0"/>
    <n v="12"/>
  </r>
  <r>
    <x v="29"/>
    <x v="8"/>
    <n v="18"/>
  </r>
  <r>
    <x v="29"/>
    <x v="7"/>
    <n v="21"/>
  </r>
  <r>
    <x v="29"/>
    <x v="3"/>
    <n v="15"/>
  </r>
  <r>
    <x v="29"/>
    <x v="5"/>
    <n v="10"/>
  </r>
  <r>
    <x v="52"/>
    <x v="8"/>
    <n v="1"/>
  </r>
  <r>
    <x v="52"/>
    <x v="10"/>
    <n v="1"/>
  </r>
  <r>
    <x v="52"/>
    <x v="11"/>
    <n v="1"/>
  </r>
  <r>
    <x v="52"/>
    <x v="1"/>
    <n v="2"/>
  </r>
  <r>
    <x v="52"/>
    <x v="0"/>
    <n v="2"/>
  </r>
  <r>
    <x v="52"/>
    <x v="6"/>
    <n v="1"/>
  </r>
  <r>
    <x v="19"/>
    <x v="6"/>
    <n v="5"/>
  </r>
  <r>
    <x v="51"/>
    <x v="9"/>
    <n v="1"/>
  </r>
  <r>
    <x v="51"/>
    <x v="8"/>
    <n v="4"/>
  </r>
  <r>
    <x v="51"/>
    <x v="10"/>
    <n v="4"/>
  </r>
  <r>
    <x v="31"/>
    <x v="10"/>
    <n v="1"/>
  </r>
  <r>
    <x v="51"/>
    <x v="11"/>
    <n v="3"/>
  </r>
  <r>
    <x v="31"/>
    <x v="11"/>
    <n v="3"/>
  </r>
  <r>
    <x v="31"/>
    <x v="7"/>
    <n v="1"/>
  </r>
  <r>
    <x v="51"/>
    <x v="7"/>
    <n v="1"/>
  </r>
  <r>
    <x v="51"/>
    <x v="1"/>
    <n v="2"/>
  </r>
  <r>
    <x v="31"/>
    <x v="1"/>
    <n v="2"/>
  </r>
  <r>
    <x v="51"/>
    <x v="2"/>
    <n v="2"/>
  </r>
  <r>
    <x v="51"/>
    <x v="3"/>
    <n v="3"/>
  </r>
  <r>
    <x v="49"/>
    <x v="0"/>
    <n v="2"/>
  </r>
  <r>
    <x v="34"/>
    <x v="9"/>
    <n v="18"/>
  </r>
  <r>
    <x v="34"/>
    <x v="1"/>
    <n v="26"/>
  </r>
  <r>
    <x v="20"/>
    <x v="6"/>
    <n v="8"/>
  </r>
  <r>
    <x v="19"/>
    <x v="4"/>
    <n v="9"/>
  </r>
  <r>
    <x v="19"/>
    <x v="9"/>
    <n v="10"/>
  </r>
  <r>
    <x v="19"/>
    <x v="8"/>
    <n v="6"/>
  </r>
  <r>
    <x v="19"/>
    <x v="7"/>
    <n v="5"/>
  </r>
  <r>
    <x v="45"/>
    <x v="6"/>
    <n v="9"/>
  </r>
  <r>
    <x v="17"/>
    <x v="4"/>
    <n v="4"/>
  </r>
  <r>
    <x v="49"/>
    <x v="4"/>
    <n v="1"/>
  </r>
  <r>
    <x v="49"/>
    <x v="5"/>
    <n v="1"/>
  </r>
  <r>
    <x v="31"/>
    <x v="0"/>
    <n v="3"/>
  </r>
  <r>
    <x v="51"/>
    <x v="6"/>
    <n v="7"/>
  </r>
  <r>
    <x v="18"/>
    <x v="4"/>
    <n v="2"/>
  </r>
  <r>
    <x v="18"/>
    <x v="5"/>
    <n v="4"/>
  </r>
  <r>
    <x v="18"/>
    <x v="0"/>
    <n v="4"/>
  </r>
  <r>
    <x v="18"/>
    <x v="6"/>
    <n v="4"/>
  </r>
  <r>
    <x v="49"/>
    <x v="8"/>
    <n v="2"/>
  </r>
  <r>
    <x v="16"/>
    <x v="10"/>
    <n v="4"/>
  </r>
  <r>
    <x v="16"/>
    <x v="11"/>
    <n v="4"/>
  </r>
  <r>
    <x v="49"/>
    <x v="7"/>
    <n v="2"/>
  </r>
  <r>
    <x v="49"/>
    <x v="1"/>
    <n v="1"/>
  </r>
  <r>
    <x v="53"/>
    <x v="2"/>
    <n v="1"/>
  </r>
  <r>
    <x v="13"/>
    <x v="2"/>
    <n v="1"/>
  </r>
  <r>
    <x v="18"/>
    <x v="9"/>
    <n v="6"/>
  </r>
  <r>
    <x v="18"/>
    <x v="8"/>
    <n v="1"/>
  </r>
  <r>
    <x v="18"/>
    <x v="11"/>
    <n v="6"/>
  </r>
  <r>
    <x v="18"/>
    <x v="7"/>
    <n v="2"/>
  </r>
  <r>
    <x v="18"/>
    <x v="1"/>
    <n v="1"/>
  </r>
  <r>
    <x v="18"/>
    <x v="3"/>
    <n v="2"/>
  </r>
  <r>
    <x v="12"/>
    <x v="7"/>
    <n v="7"/>
  </r>
  <r>
    <x v="12"/>
    <x v="1"/>
    <n v="2"/>
  </r>
  <r>
    <x v="12"/>
    <x v="2"/>
    <n v="2"/>
  </r>
  <r>
    <x v="12"/>
    <x v="3"/>
    <n v="3"/>
  </r>
  <r>
    <x v="12"/>
    <x v="5"/>
    <n v="6"/>
  </r>
  <r>
    <x v="12"/>
    <x v="0"/>
    <n v="2"/>
  </r>
  <r>
    <x v="12"/>
    <x v="9"/>
    <n v="6"/>
  </r>
  <r>
    <x v="12"/>
    <x v="10"/>
    <n v="1"/>
  </r>
  <r>
    <x v="12"/>
    <x v="11"/>
    <n v="7"/>
  </r>
  <r>
    <x v="54"/>
    <x v="9"/>
    <n v="1"/>
  </r>
  <r>
    <x v="54"/>
    <x v="10"/>
    <n v="1"/>
  </r>
  <r>
    <x v="54"/>
    <x v="11"/>
    <n v="2"/>
  </r>
  <r>
    <x v="54"/>
    <x v="7"/>
    <n v="2"/>
  </r>
  <r>
    <x v="54"/>
    <x v="1"/>
    <n v="1"/>
  </r>
  <r>
    <x v="54"/>
    <x v="2"/>
    <n v="3"/>
  </r>
  <r>
    <x v="13"/>
    <x v="3"/>
    <n v="2"/>
  </r>
  <r>
    <x v="54"/>
    <x v="3"/>
    <n v="2"/>
  </r>
  <r>
    <x v="54"/>
    <x v="4"/>
    <n v="3"/>
  </r>
  <r>
    <x v="54"/>
    <x v="5"/>
    <n v="2"/>
  </r>
  <r>
    <x v="54"/>
    <x v="0"/>
    <n v="2"/>
  </r>
  <r>
    <x v="54"/>
    <x v="6"/>
    <n v="2"/>
  </r>
  <r>
    <x v="49"/>
    <x v="9"/>
    <n v="1"/>
  </r>
  <r>
    <x v="13"/>
    <x v="9"/>
    <n v="2"/>
  </r>
  <r>
    <x v="21"/>
    <x v="10"/>
    <n v="5"/>
  </r>
  <r>
    <x v="13"/>
    <x v="4"/>
    <n v="1"/>
  </r>
  <r>
    <x v="13"/>
    <x v="0"/>
    <n v="2"/>
  </r>
  <r>
    <x v="55"/>
    <x v="2"/>
    <n v="8"/>
  </r>
  <r>
    <x v="55"/>
    <x v="3"/>
    <n v="3"/>
  </r>
  <r>
    <x v="52"/>
    <x v="3"/>
    <n v="1"/>
  </r>
  <r>
    <x v="55"/>
    <x v="4"/>
    <n v="4"/>
  </r>
  <r>
    <x v="55"/>
    <x v="5"/>
    <n v="2"/>
  </r>
  <r>
    <x v="55"/>
    <x v="0"/>
    <n v="5"/>
  </r>
  <r>
    <x v="55"/>
    <x v="6"/>
    <n v="5"/>
  </r>
  <r>
    <x v="55"/>
    <x v="9"/>
    <n v="3"/>
  </r>
  <r>
    <x v="32"/>
    <x v="9"/>
    <n v="2"/>
  </r>
  <r>
    <x v="56"/>
    <x v="10"/>
    <n v="1"/>
  </r>
  <r>
    <x v="56"/>
    <x v="7"/>
    <n v="2"/>
  </r>
  <r>
    <x v="56"/>
    <x v="3"/>
    <n v="1"/>
  </r>
  <r>
    <x v="56"/>
    <x v="4"/>
    <n v="2"/>
  </r>
  <r>
    <x v="56"/>
    <x v="0"/>
    <n v="1"/>
  </r>
  <r>
    <x v="32"/>
    <x v="11"/>
    <n v="3"/>
  </r>
  <r>
    <x v="32"/>
    <x v="2"/>
    <n v="8"/>
  </r>
  <r>
    <x v="32"/>
    <x v="0"/>
    <n v="6"/>
  </r>
  <r>
    <x v="32"/>
    <x v="6"/>
    <n v="2"/>
  </r>
  <r>
    <x v="57"/>
    <x v="9"/>
    <n v="1"/>
  </r>
  <r>
    <x v="57"/>
    <x v="10"/>
    <n v="1"/>
  </r>
  <r>
    <x v="57"/>
    <x v="11"/>
    <n v="3"/>
  </r>
  <r>
    <x v="57"/>
    <x v="7"/>
    <n v="2"/>
  </r>
  <r>
    <x v="57"/>
    <x v="1"/>
    <n v="2"/>
  </r>
  <r>
    <x v="57"/>
    <x v="2"/>
    <n v="1"/>
  </r>
  <r>
    <x v="57"/>
    <x v="3"/>
    <n v="1"/>
  </r>
  <r>
    <x v="57"/>
    <x v="4"/>
    <n v="1"/>
  </r>
  <r>
    <x v="57"/>
    <x v="5"/>
    <n v="2"/>
  </r>
  <r>
    <x v="57"/>
    <x v="0"/>
    <n v="2"/>
  </r>
  <r>
    <x v="55"/>
    <x v="8"/>
    <n v="2"/>
  </r>
  <r>
    <x v="55"/>
    <x v="10"/>
    <n v="3"/>
  </r>
  <r>
    <x v="55"/>
    <x v="11"/>
    <n v="4"/>
  </r>
  <r>
    <x v="55"/>
    <x v="7"/>
    <n v="4"/>
  </r>
  <r>
    <x v="52"/>
    <x v="7"/>
    <n v="1"/>
  </r>
  <r>
    <x v="55"/>
    <x v="1"/>
    <n v="3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7">
  <r>
    <x v="0"/>
    <x v="0"/>
    <x v="0"/>
  </r>
  <r>
    <x v="1"/>
    <x v="1"/>
    <x v="1"/>
  </r>
  <r>
    <x v="2"/>
    <x v="2"/>
    <x v="2"/>
  </r>
  <r>
    <x v="3"/>
    <x v="0"/>
    <x v="3"/>
  </r>
  <r>
    <x v="4"/>
    <x v="3"/>
    <x v="4"/>
  </r>
  <r>
    <x v="1"/>
    <x v="4"/>
    <x v="5"/>
  </r>
  <r>
    <x v="5"/>
    <x v="5"/>
    <x v="6"/>
  </r>
  <r>
    <x v="2"/>
    <x v="4"/>
    <x v="7"/>
  </r>
  <r>
    <x v="6"/>
    <x v="2"/>
    <x v="5"/>
  </r>
  <r>
    <x v="4"/>
    <x v="5"/>
    <x v="4"/>
  </r>
  <r>
    <x v="3"/>
    <x v="6"/>
    <x v="8"/>
  </r>
  <r>
    <x v="3"/>
    <x v="4"/>
    <x v="7"/>
  </r>
  <r>
    <x v="7"/>
    <x v="1"/>
    <x v="9"/>
  </r>
  <r>
    <x v="8"/>
    <x v="7"/>
    <x v="1"/>
  </r>
  <r>
    <x v="0"/>
    <x v="4"/>
    <x v="10"/>
  </r>
  <r>
    <x v="5"/>
    <x v="7"/>
    <x v="11"/>
  </r>
  <r>
    <x v="4"/>
    <x v="8"/>
    <x v="12"/>
  </r>
  <r>
    <x v="8"/>
    <x v="6"/>
    <x v="13"/>
  </r>
  <r>
    <x v="5"/>
    <x v="3"/>
    <x v="14"/>
  </r>
  <r>
    <x v="1"/>
    <x v="9"/>
    <x v="0"/>
  </r>
  <r>
    <x v="1"/>
    <x v="10"/>
    <x v="5"/>
  </r>
  <r>
    <x v="8"/>
    <x v="9"/>
    <x v="1"/>
  </r>
  <r>
    <x v="3"/>
    <x v="1"/>
    <x v="5"/>
  </r>
  <r>
    <x v="0"/>
    <x v="11"/>
    <x v="13"/>
  </r>
  <r>
    <x v="2"/>
    <x v="7"/>
    <x v="10"/>
  </r>
  <r>
    <x v="8"/>
    <x v="8"/>
    <x v="13"/>
  </r>
  <r>
    <x v="4"/>
    <x v="10"/>
    <x v="2"/>
  </r>
  <r>
    <x v="0"/>
    <x v="6"/>
    <x v="13"/>
  </r>
  <r>
    <x v="5"/>
    <x v="4"/>
    <x v="15"/>
  </r>
  <r>
    <x v="5"/>
    <x v="11"/>
    <x v="14"/>
  </r>
  <r>
    <x v="0"/>
    <x v="9"/>
    <x v="7"/>
  </r>
  <r>
    <x v="9"/>
    <x v="9"/>
    <x v="4"/>
  </r>
  <r>
    <x v="7"/>
    <x v="5"/>
    <x v="16"/>
  </r>
  <r>
    <x v="10"/>
    <x v="1"/>
    <x v="13"/>
  </r>
  <r>
    <x v="6"/>
    <x v="6"/>
    <x v="1"/>
  </r>
  <r>
    <x v="1"/>
    <x v="11"/>
    <x v="2"/>
  </r>
  <r>
    <x v="3"/>
    <x v="9"/>
    <x v="17"/>
  </r>
  <r>
    <x v="6"/>
    <x v="5"/>
    <x v="13"/>
  </r>
  <r>
    <x v="5"/>
    <x v="2"/>
    <x v="16"/>
  </r>
  <r>
    <x v="5"/>
    <x v="8"/>
    <x v="0"/>
  </r>
  <r>
    <x v="5"/>
    <x v="1"/>
    <x v="14"/>
  </r>
  <r>
    <x v="2"/>
    <x v="11"/>
    <x v="7"/>
  </r>
  <r>
    <x v="3"/>
    <x v="10"/>
    <x v="10"/>
  </r>
  <r>
    <x v="3"/>
    <x v="8"/>
    <x v="13"/>
  </r>
  <r>
    <x v="6"/>
    <x v="8"/>
    <x v="13"/>
  </r>
  <r>
    <x v="1"/>
    <x v="0"/>
    <x v="5"/>
  </r>
  <r>
    <x v="2"/>
    <x v="5"/>
    <x v="10"/>
  </r>
  <r>
    <x v="11"/>
    <x v="10"/>
    <x v="7"/>
  </r>
  <r>
    <x v="4"/>
    <x v="7"/>
    <x v="4"/>
  </r>
  <r>
    <x v="7"/>
    <x v="11"/>
    <x v="17"/>
  </r>
  <r>
    <x v="12"/>
    <x v="5"/>
    <x v="13"/>
  </r>
  <r>
    <x v="2"/>
    <x v="0"/>
    <x v="5"/>
  </r>
  <r>
    <x v="13"/>
    <x v="0"/>
    <x v="3"/>
  </r>
  <r>
    <x v="5"/>
    <x v="6"/>
    <x v="12"/>
  </r>
  <r>
    <x v="4"/>
    <x v="0"/>
    <x v="2"/>
  </r>
  <r>
    <x v="1"/>
    <x v="7"/>
    <x v="10"/>
  </r>
  <r>
    <x v="10"/>
    <x v="7"/>
    <x v="13"/>
  </r>
  <r>
    <x v="4"/>
    <x v="2"/>
    <x v="7"/>
  </r>
  <r>
    <x v="3"/>
    <x v="11"/>
    <x v="12"/>
  </r>
  <r>
    <x v="14"/>
    <x v="3"/>
    <x v="5"/>
  </r>
  <r>
    <x v="11"/>
    <x v="5"/>
    <x v="3"/>
  </r>
  <r>
    <x v="0"/>
    <x v="8"/>
    <x v="3"/>
  </r>
  <r>
    <x v="2"/>
    <x v="6"/>
    <x v="1"/>
  </r>
  <r>
    <x v="13"/>
    <x v="10"/>
    <x v="13"/>
  </r>
  <r>
    <x v="5"/>
    <x v="10"/>
    <x v="6"/>
  </r>
  <r>
    <x v="8"/>
    <x v="0"/>
    <x v="3"/>
  </r>
  <r>
    <x v="4"/>
    <x v="9"/>
    <x v="4"/>
  </r>
  <r>
    <x v="14"/>
    <x v="9"/>
    <x v="3"/>
  </r>
  <r>
    <x v="3"/>
    <x v="2"/>
    <x v="3"/>
  </r>
  <r>
    <x v="1"/>
    <x v="6"/>
    <x v="10"/>
  </r>
  <r>
    <x v="6"/>
    <x v="7"/>
    <x v="13"/>
  </r>
  <r>
    <x v="9"/>
    <x v="11"/>
    <x v="2"/>
  </r>
  <r>
    <x v="15"/>
    <x v="10"/>
    <x v="5"/>
  </r>
  <r>
    <x v="0"/>
    <x v="2"/>
    <x v="5"/>
  </r>
  <r>
    <x v="3"/>
    <x v="5"/>
    <x v="7"/>
  </r>
  <r>
    <x v="1"/>
    <x v="5"/>
    <x v="7"/>
  </r>
  <r>
    <x v="0"/>
    <x v="1"/>
    <x v="3"/>
  </r>
  <r>
    <x v="16"/>
    <x v="5"/>
    <x v="13"/>
  </r>
  <r>
    <x v="2"/>
    <x v="1"/>
    <x v="13"/>
  </r>
  <r>
    <x v="14"/>
    <x v="4"/>
    <x v="3"/>
  </r>
  <r>
    <x v="17"/>
    <x v="9"/>
    <x v="1"/>
  </r>
  <r>
    <x v="0"/>
    <x v="7"/>
    <x v="5"/>
  </r>
  <r>
    <x v="18"/>
    <x v="5"/>
    <x v="1"/>
  </r>
  <r>
    <x v="11"/>
    <x v="2"/>
    <x v="1"/>
  </r>
  <r>
    <x v="0"/>
    <x v="5"/>
    <x v="3"/>
  </r>
  <r>
    <x v="5"/>
    <x v="0"/>
    <x v="14"/>
  </r>
  <r>
    <x v="3"/>
    <x v="3"/>
    <x v="7"/>
  </r>
  <r>
    <x v="1"/>
    <x v="2"/>
    <x v="10"/>
  </r>
  <r>
    <x v="0"/>
    <x v="10"/>
    <x v="5"/>
  </r>
  <r>
    <x v="8"/>
    <x v="11"/>
    <x v="13"/>
  </r>
  <r>
    <x v="19"/>
    <x v="5"/>
    <x v="10"/>
  </r>
  <r>
    <x v="19"/>
    <x v="8"/>
    <x v="2"/>
  </r>
  <r>
    <x v="0"/>
    <x v="3"/>
    <x v="5"/>
  </r>
  <r>
    <x v="2"/>
    <x v="9"/>
    <x v="5"/>
  </r>
  <r>
    <x v="20"/>
    <x v="0"/>
    <x v="13"/>
  </r>
  <r>
    <x v="6"/>
    <x v="10"/>
    <x v="1"/>
  </r>
  <r>
    <x v="4"/>
    <x v="1"/>
    <x v="0"/>
  </r>
  <r>
    <x v="19"/>
    <x v="1"/>
    <x v="14"/>
  </r>
  <r>
    <x v="7"/>
    <x v="2"/>
    <x v="12"/>
  </r>
  <r>
    <x v="5"/>
    <x v="9"/>
    <x v="4"/>
  </r>
  <r>
    <x v="1"/>
    <x v="8"/>
    <x v="8"/>
  </r>
  <r>
    <x v="10"/>
    <x v="10"/>
    <x v="13"/>
  </r>
  <r>
    <x v="21"/>
    <x v="9"/>
    <x v="1"/>
  </r>
  <r>
    <x v="1"/>
    <x v="3"/>
    <x v="3"/>
  </r>
  <r>
    <x v="3"/>
    <x v="7"/>
    <x v="3"/>
  </r>
  <r>
    <x v="21"/>
    <x v="1"/>
    <x v="3"/>
  </r>
  <r>
    <x v="10"/>
    <x v="3"/>
    <x v="13"/>
  </r>
  <r>
    <x v="22"/>
    <x v="9"/>
    <x v="13"/>
  </r>
  <r>
    <x v="4"/>
    <x v="4"/>
    <x v="12"/>
  </r>
  <r>
    <x v="4"/>
    <x v="11"/>
    <x v="7"/>
  </r>
  <r>
    <x v="19"/>
    <x v="6"/>
    <x v="10"/>
  </r>
  <r>
    <x v="10"/>
    <x v="6"/>
    <x v="1"/>
  </r>
  <r>
    <x v="23"/>
    <x v="2"/>
    <x v="8"/>
  </r>
  <r>
    <x v="23"/>
    <x v="11"/>
    <x v="5"/>
  </r>
  <r>
    <x v="7"/>
    <x v="6"/>
    <x v="18"/>
  </r>
  <r>
    <x v="9"/>
    <x v="7"/>
    <x v="0"/>
  </r>
  <r>
    <x v="24"/>
    <x v="5"/>
    <x v="13"/>
  </r>
  <r>
    <x v="25"/>
    <x v="9"/>
    <x v="1"/>
  </r>
  <r>
    <x v="9"/>
    <x v="4"/>
    <x v="7"/>
  </r>
  <r>
    <x v="11"/>
    <x v="8"/>
    <x v="3"/>
  </r>
  <r>
    <x v="4"/>
    <x v="6"/>
    <x v="10"/>
  </r>
  <r>
    <x v="26"/>
    <x v="5"/>
    <x v="1"/>
  </r>
  <r>
    <x v="11"/>
    <x v="7"/>
    <x v="13"/>
  </r>
  <r>
    <x v="9"/>
    <x v="5"/>
    <x v="8"/>
  </r>
  <r>
    <x v="19"/>
    <x v="2"/>
    <x v="12"/>
  </r>
  <r>
    <x v="27"/>
    <x v="0"/>
    <x v="13"/>
  </r>
  <r>
    <x v="28"/>
    <x v="7"/>
    <x v="13"/>
  </r>
  <r>
    <x v="24"/>
    <x v="10"/>
    <x v="13"/>
  </r>
  <r>
    <x v="26"/>
    <x v="8"/>
    <x v="3"/>
  </r>
  <r>
    <x v="23"/>
    <x v="9"/>
    <x v="5"/>
  </r>
  <r>
    <x v="29"/>
    <x v="6"/>
    <x v="13"/>
  </r>
  <r>
    <x v="26"/>
    <x v="1"/>
    <x v="13"/>
  </r>
  <r>
    <x v="19"/>
    <x v="0"/>
    <x v="12"/>
  </r>
  <r>
    <x v="27"/>
    <x v="1"/>
    <x v="1"/>
  </r>
  <r>
    <x v="24"/>
    <x v="4"/>
    <x v="13"/>
  </r>
  <r>
    <x v="7"/>
    <x v="4"/>
    <x v="12"/>
  </r>
  <r>
    <x v="30"/>
    <x v="5"/>
    <x v="13"/>
  </r>
  <r>
    <x v="31"/>
    <x v="3"/>
    <x v="7"/>
  </r>
  <r>
    <x v="27"/>
    <x v="8"/>
    <x v="13"/>
  </r>
  <r>
    <x v="9"/>
    <x v="8"/>
    <x v="10"/>
  </r>
  <r>
    <x v="9"/>
    <x v="3"/>
    <x v="5"/>
  </r>
  <r>
    <x v="25"/>
    <x v="10"/>
    <x v="13"/>
  </r>
  <r>
    <x v="11"/>
    <x v="1"/>
    <x v="1"/>
  </r>
  <r>
    <x v="32"/>
    <x v="8"/>
    <x v="13"/>
  </r>
  <r>
    <x v="26"/>
    <x v="4"/>
    <x v="1"/>
  </r>
  <r>
    <x v="33"/>
    <x v="3"/>
    <x v="13"/>
  </r>
  <r>
    <x v="20"/>
    <x v="8"/>
    <x v="13"/>
  </r>
  <r>
    <x v="26"/>
    <x v="7"/>
    <x v="13"/>
  </r>
  <r>
    <x v="11"/>
    <x v="6"/>
    <x v="10"/>
  </r>
  <r>
    <x v="31"/>
    <x v="7"/>
    <x v="13"/>
  </r>
  <r>
    <x v="9"/>
    <x v="2"/>
    <x v="10"/>
  </r>
  <r>
    <x v="26"/>
    <x v="6"/>
    <x v="1"/>
  </r>
  <r>
    <x v="34"/>
    <x v="6"/>
    <x v="13"/>
  </r>
  <r>
    <x v="19"/>
    <x v="4"/>
    <x v="17"/>
  </r>
  <r>
    <x v="35"/>
    <x v="3"/>
    <x v="1"/>
  </r>
  <r>
    <x v="19"/>
    <x v="10"/>
    <x v="2"/>
  </r>
  <r>
    <x v="10"/>
    <x v="8"/>
    <x v="1"/>
  </r>
  <r>
    <x v="11"/>
    <x v="4"/>
    <x v="13"/>
  </r>
  <r>
    <x v="19"/>
    <x v="7"/>
    <x v="2"/>
  </r>
  <r>
    <x v="24"/>
    <x v="1"/>
    <x v="13"/>
  </r>
  <r>
    <x v="26"/>
    <x v="2"/>
    <x v="3"/>
  </r>
  <r>
    <x v="7"/>
    <x v="10"/>
    <x v="4"/>
  </r>
  <r>
    <x v="19"/>
    <x v="3"/>
    <x v="2"/>
  </r>
  <r>
    <x v="22"/>
    <x v="2"/>
    <x v="13"/>
  </r>
  <r>
    <x v="9"/>
    <x v="6"/>
    <x v="2"/>
  </r>
  <r>
    <x v="22"/>
    <x v="4"/>
    <x v="13"/>
  </r>
  <r>
    <x v="31"/>
    <x v="0"/>
    <x v="3"/>
  </r>
  <r>
    <x v="27"/>
    <x v="5"/>
    <x v="13"/>
  </r>
  <r>
    <x v="31"/>
    <x v="1"/>
    <x v="3"/>
  </r>
  <r>
    <x v="34"/>
    <x v="4"/>
    <x v="13"/>
  </r>
  <r>
    <x v="36"/>
    <x v="2"/>
    <x v="8"/>
  </r>
  <r>
    <x v="22"/>
    <x v="11"/>
    <x v="13"/>
  </r>
  <r>
    <x v="31"/>
    <x v="9"/>
    <x v="3"/>
  </r>
  <r>
    <x v="15"/>
    <x v="7"/>
    <x v="13"/>
  </r>
  <r>
    <x v="36"/>
    <x v="11"/>
    <x v="3"/>
  </r>
  <r>
    <x v="37"/>
    <x v="3"/>
    <x v="13"/>
  </r>
  <r>
    <x v="26"/>
    <x v="0"/>
    <x v="13"/>
  </r>
  <r>
    <x v="14"/>
    <x v="8"/>
    <x v="7"/>
  </r>
  <r>
    <x v="38"/>
    <x v="10"/>
    <x v="13"/>
  </r>
  <r>
    <x v="12"/>
    <x v="11"/>
    <x v="1"/>
  </r>
  <r>
    <x v="9"/>
    <x v="0"/>
    <x v="5"/>
  </r>
  <r>
    <x v="9"/>
    <x v="1"/>
    <x v="7"/>
  </r>
  <r>
    <x v="38"/>
    <x v="1"/>
    <x v="3"/>
  </r>
  <r>
    <x v="39"/>
    <x v="11"/>
    <x v="3"/>
  </r>
  <r>
    <x v="15"/>
    <x v="5"/>
    <x v="1"/>
  </r>
  <r>
    <x v="38"/>
    <x v="0"/>
    <x v="5"/>
  </r>
  <r>
    <x v="38"/>
    <x v="2"/>
    <x v="5"/>
  </r>
  <r>
    <x v="38"/>
    <x v="8"/>
    <x v="1"/>
  </r>
  <r>
    <x v="7"/>
    <x v="0"/>
    <x v="12"/>
  </r>
  <r>
    <x v="38"/>
    <x v="11"/>
    <x v="1"/>
  </r>
  <r>
    <x v="11"/>
    <x v="3"/>
    <x v="3"/>
  </r>
  <r>
    <x v="15"/>
    <x v="11"/>
    <x v="3"/>
  </r>
  <r>
    <x v="39"/>
    <x v="5"/>
    <x v="13"/>
  </r>
  <r>
    <x v="36"/>
    <x v="6"/>
    <x v="6"/>
  </r>
  <r>
    <x v="36"/>
    <x v="7"/>
    <x v="0"/>
  </r>
  <r>
    <x v="36"/>
    <x v="10"/>
    <x v="1"/>
  </r>
  <r>
    <x v="36"/>
    <x v="1"/>
    <x v="1"/>
  </r>
  <r>
    <x v="12"/>
    <x v="9"/>
    <x v="3"/>
  </r>
  <r>
    <x v="37"/>
    <x v="9"/>
    <x v="1"/>
  </r>
  <r>
    <x v="37"/>
    <x v="10"/>
    <x v="13"/>
  </r>
  <r>
    <x v="9"/>
    <x v="10"/>
    <x v="7"/>
  </r>
  <r>
    <x v="36"/>
    <x v="5"/>
    <x v="8"/>
  </r>
  <r>
    <x v="19"/>
    <x v="11"/>
    <x v="0"/>
  </r>
  <r>
    <x v="39"/>
    <x v="7"/>
    <x v="1"/>
  </r>
  <r>
    <x v="38"/>
    <x v="6"/>
    <x v="13"/>
  </r>
  <r>
    <x v="12"/>
    <x v="4"/>
    <x v="1"/>
  </r>
  <r>
    <x v="36"/>
    <x v="0"/>
    <x v="1"/>
  </r>
  <r>
    <x v="38"/>
    <x v="5"/>
    <x v="3"/>
  </r>
  <r>
    <x v="36"/>
    <x v="4"/>
    <x v="0"/>
  </r>
  <r>
    <x v="36"/>
    <x v="8"/>
    <x v="7"/>
  </r>
  <r>
    <x v="36"/>
    <x v="3"/>
    <x v="10"/>
  </r>
  <r>
    <x v="38"/>
    <x v="3"/>
    <x v="13"/>
  </r>
  <r>
    <x v="39"/>
    <x v="3"/>
    <x v="13"/>
  </r>
  <r>
    <x v="39"/>
    <x v="4"/>
    <x v="13"/>
  </r>
  <r>
    <x v="11"/>
    <x v="11"/>
    <x v="3"/>
  </r>
  <r>
    <x v="38"/>
    <x v="7"/>
    <x v="13"/>
  </r>
  <r>
    <x v="40"/>
    <x v="7"/>
    <x v="13"/>
  </r>
  <r>
    <x v="37"/>
    <x v="2"/>
    <x v="13"/>
  </r>
  <r>
    <x v="15"/>
    <x v="0"/>
    <x v="1"/>
  </r>
  <r>
    <x v="40"/>
    <x v="4"/>
    <x v="13"/>
  </r>
  <r>
    <x v="36"/>
    <x v="9"/>
    <x v="3"/>
  </r>
  <r>
    <x v="7"/>
    <x v="7"/>
    <x v="2"/>
  </r>
  <r>
    <x v="39"/>
    <x v="6"/>
    <x v="13"/>
  </r>
  <r>
    <x v="20"/>
    <x v="1"/>
    <x v="3"/>
  </r>
  <r>
    <x v="41"/>
    <x v="9"/>
    <x v="3"/>
  </r>
  <r>
    <x v="14"/>
    <x v="0"/>
    <x v="1"/>
  </r>
  <r>
    <x v="7"/>
    <x v="8"/>
    <x v="3"/>
  </r>
  <r>
    <x v="41"/>
    <x v="3"/>
    <x v="13"/>
  </r>
  <r>
    <x v="41"/>
    <x v="6"/>
    <x v="1"/>
  </r>
  <r>
    <x v="42"/>
    <x v="2"/>
    <x v="13"/>
  </r>
  <r>
    <x v="2"/>
    <x v="10"/>
    <x v="10"/>
  </r>
  <r>
    <x v="18"/>
    <x v="1"/>
    <x v="3"/>
  </r>
  <r>
    <x v="43"/>
    <x v="10"/>
    <x v="1"/>
  </r>
  <r>
    <x v="25"/>
    <x v="5"/>
    <x v="1"/>
  </r>
  <r>
    <x v="19"/>
    <x v="9"/>
    <x v="7"/>
  </r>
  <r>
    <x v="7"/>
    <x v="9"/>
    <x v="10"/>
  </r>
  <r>
    <x v="44"/>
    <x v="2"/>
    <x v="13"/>
  </r>
  <r>
    <x v="31"/>
    <x v="2"/>
    <x v="5"/>
  </r>
  <r>
    <x v="35"/>
    <x v="7"/>
    <x v="1"/>
  </r>
  <r>
    <x v="25"/>
    <x v="4"/>
    <x v="13"/>
  </r>
  <r>
    <x v="35"/>
    <x v="5"/>
    <x v="5"/>
  </r>
  <r>
    <x v="42"/>
    <x v="1"/>
    <x v="1"/>
  </r>
  <r>
    <x v="14"/>
    <x v="7"/>
    <x v="3"/>
  </r>
  <r>
    <x v="13"/>
    <x v="9"/>
    <x v="13"/>
  </r>
  <r>
    <x v="41"/>
    <x v="8"/>
    <x v="13"/>
  </r>
  <r>
    <x v="18"/>
    <x v="7"/>
    <x v="1"/>
  </r>
  <r>
    <x v="7"/>
    <x v="3"/>
    <x v="7"/>
  </r>
  <r>
    <x v="41"/>
    <x v="11"/>
    <x v="13"/>
  </r>
  <r>
    <x v="40"/>
    <x v="3"/>
    <x v="13"/>
  </r>
  <r>
    <x v="29"/>
    <x v="0"/>
    <x v="13"/>
  </r>
  <r>
    <x v="17"/>
    <x v="4"/>
    <x v="3"/>
  </r>
  <r>
    <x v="45"/>
    <x v="2"/>
    <x v="5"/>
  </r>
  <r>
    <x v="46"/>
    <x v="5"/>
    <x v="13"/>
  </r>
  <r>
    <x v="23"/>
    <x v="4"/>
    <x v="7"/>
  </r>
  <r>
    <x v="23"/>
    <x v="7"/>
    <x v="7"/>
  </r>
  <r>
    <x v="45"/>
    <x v="6"/>
    <x v="13"/>
  </r>
  <r>
    <x v="23"/>
    <x v="8"/>
    <x v="1"/>
  </r>
  <r>
    <x v="23"/>
    <x v="0"/>
    <x v="3"/>
  </r>
  <r>
    <x v="45"/>
    <x v="9"/>
    <x v="7"/>
  </r>
  <r>
    <x v="46"/>
    <x v="7"/>
    <x v="1"/>
  </r>
  <r>
    <x v="47"/>
    <x v="9"/>
    <x v="13"/>
  </r>
  <r>
    <x v="48"/>
    <x v="8"/>
    <x v="3"/>
  </r>
  <r>
    <x v="14"/>
    <x v="1"/>
    <x v="5"/>
  </r>
  <r>
    <x v="47"/>
    <x v="1"/>
    <x v="13"/>
  </r>
  <r>
    <x v="47"/>
    <x v="2"/>
    <x v="13"/>
  </r>
  <r>
    <x v="13"/>
    <x v="3"/>
    <x v="13"/>
  </r>
  <r>
    <x v="23"/>
    <x v="1"/>
    <x v="13"/>
  </r>
  <r>
    <x v="23"/>
    <x v="10"/>
    <x v="1"/>
  </r>
  <r>
    <x v="33"/>
    <x v="9"/>
    <x v="5"/>
  </r>
  <r>
    <x v="45"/>
    <x v="0"/>
    <x v="3"/>
  </r>
  <r>
    <x v="45"/>
    <x v="7"/>
    <x v="13"/>
  </r>
  <r>
    <x v="23"/>
    <x v="5"/>
    <x v="7"/>
  </r>
  <r>
    <x v="45"/>
    <x v="8"/>
    <x v="13"/>
  </r>
  <r>
    <x v="23"/>
    <x v="3"/>
    <x v="13"/>
  </r>
  <r>
    <x v="13"/>
    <x v="4"/>
    <x v="13"/>
  </r>
  <r>
    <x v="20"/>
    <x v="5"/>
    <x v="13"/>
  </r>
  <r>
    <x v="11"/>
    <x v="9"/>
    <x v="1"/>
  </r>
  <r>
    <x v="23"/>
    <x v="6"/>
    <x v="13"/>
  </r>
  <r>
    <x v="45"/>
    <x v="11"/>
    <x v="3"/>
  </r>
  <r>
    <x v="49"/>
    <x v="6"/>
    <x v="13"/>
  </r>
  <r>
    <x v="33"/>
    <x v="1"/>
    <x v="13"/>
  </r>
  <r>
    <x v="50"/>
    <x v="11"/>
    <x v="13"/>
  </r>
  <r>
    <x v="47"/>
    <x v="4"/>
    <x v="13"/>
  </r>
  <r>
    <x v="6"/>
    <x v="0"/>
    <x v="13"/>
  </r>
  <r>
    <x v="47"/>
    <x v="5"/>
    <x v="1"/>
  </r>
  <r>
    <x v="33"/>
    <x v="11"/>
    <x v="13"/>
  </r>
  <r>
    <x v="40"/>
    <x v="11"/>
    <x v="1"/>
  </r>
  <r>
    <x v="47"/>
    <x v="0"/>
    <x v="13"/>
  </r>
  <r>
    <x v="20"/>
    <x v="9"/>
    <x v="13"/>
  </r>
  <r>
    <x v="45"/>
    <x v="3"/>
    <x v="3"/>
  </r>
  <r>
    <x v="2"/>
    <x v="8"/>
    <x v="1"/>
  </r>
  <r>
    <x v="45"/>
    <x v="1"/>
    <x v="13"/>
  </r>
  <r>
    <x v="14"/>
    <x v="2"/>
    <x v="10"/>
  </r>
  <r>
    <x v="47"/>
    <x v="3"/>
    <x v="13"/>
  </r>
  <r>
    <x v="46"/>
    <x v="3"/>
    <x v="13"/>
  </r>
  <r>
    <x v="40"/>
    <x v="8"/>
    <x v="1"/>
  </r>
  <r>
    <x v="20"/>
    <x v="3"/>
    <x v="3"/>
  </r>
  <r>
    <x v="40"/>
    <x v="2"/>
    <x v="13"/>
  </r>
  <r>
    <x v="46"/>
    <x v="4"/>
    <x v="13"/>
  </r>
  <r>
    <x v="46"/>
    <x v="9"/>
    <x v="13"/>
  </r>
  <r>
    <x v="14"/>
    <x v="11"/>
    <x v="1"/>
  </r>
  <r>
    <x v="13"/>
    <x v="5"/>
    <x v="13"/>
  </r>
  <r>
    <x v="10"/>
    <x v="0"/>
    <x v="13"/>
  </r>
  <r>
    <x v="12"/>
    <x v="10"/>
    <x v="13"/>
  </r>
  <r>
    <x v="49"/>
    <x v="0"/>
    <x v="13"/>
  </r>
  <r>
    <x v="48"/>
    <x v="0"/>
    <x v="1"/>
  </r>
  <r>
    <x v="17"/>
    <x v="3"/>
    <x v="13"/>
  </r>
  <r>
    <x v="15"/>
    <x v="1"/>
    <x v="1"/>
  </r>
  <r>
    <x v="48"/>
    <x v="6"/>
    <x v="1"/>
  </r>
  <r>
    <x v="49"/>
    <x v="10"/>
    <x v="13"/>
  </r>
  <r>
    <x v="18"/>
    <x v="11"/>
    <x v="1"/>
  </r>
  <r>
    <x v="15"/>
    <x v="2"/>
    <x v="1"/>
  </r>
  <r>
    <x v="51"/>
    <x v="1"/>
    <x v="13"/>
  </r>
  <r>
    <x v="14"/>
    <x v="10"/>
    <x v="13"/>
  </r>
  <r>
    <x v="15"/>
    <x v="8"/>
    <x v="3"/>
  </r>
  <r>
    <x v="48"/>
    <x v="2"/>
    <x v="3"/>
  </r>
  <r>
    <x v="10"/>
    <x v="4"/>
    <x v="13"/>
  </r>
  <r>
    <x v="51"/>
    <x v="8"/>
    <x v="1"/>
  </r>
  <r>
    <x v="17"/>
    <x v="1"/>
    <x v="13"/>
  </r>
  <r>
    <x v="35"/>
    <x v="4"/>
    <x v="13"/>
  </r>
  <r>
    <x v="44"/>
    <x v="9"/>
    <x v="13"/>
  </r>
  <r>
    <x v="51"/>
    <x v="6"/>
    <x v="3"/>
  </r>
  <r>
    <x v="44"/>
    <x v="6"/>
    <x v="13"/>
  </r>
  <r>
    <x v="44"/>
    <x v="10"/>
    <x v="13"/>
  </r>
  <r>
    <x v="44"/>
    <x v="1"/>
    <x v="13"/>
  </r>
  <r>
    <x v="15"/>
    <x v="6"/>
    <x v="13"/>
  </r>
  <r>
    <x v="17"/>
    <x v="0"/>
    <x v="13"/>
  </r>
  <r>
    <x v="11"/>
    <x v="0"/>
    <x v="13"/>
  </r>
  <r>
    <x v="48"/>
    <x v="1"/>
    <x v="13"/>
  </r>
  <r>
    <x v="48"/>
    <x v="5"/>
    <x v="1"/>
  </r>
  <r>
    <x v="17"/>
    <x v="11"/>
    <x v="13"/>
  </r>
  <r>
    <x v="44"/>
    <x v="8"/>
    <x v="13"/>
  </r>
  <r>
    <x v="15"/>
    <x v="3"/>
    <x v="3"/>
  </r>
  <r>
    <x v="17"/>
    <x v="6"/>
    <x v="13"/>
  </r>
  <r>
    <x v="48"/>
    <x v="3"/>
    <x v="13"/>
  </r>
  <r>
    <x v="44"/>
    <x v="3"/>
    <x v="13"/>
  </r>
  <r>
    <x v="38"/>
    <x v="4"/>
    <x v="13"/>
  </r>
  <r>
    <x v="31"/>
    <x v="11"/>
    <x v="1"/>
  </r>
  <r>
    <x v="31"/>
    <x v="8"/>
    <x v="3"/>
  </r>
  <r>
    <x v="18"/>
    <x v="9"/>
    <x v="13"/>
  </r>
  <r>
    <x v="31"/>
    <x v="10"/>
    <x v="3"/>
  </r>
  <r>
    <x v="42"/>
    <x v="9"/>
    <x v="1"/>
  </r>
  <r>
    <x v="28"/>
    <x v="2"/>
    <x v="13"/>
  </r>
  <r>
    <x v="31"/>
    <x v="4"/>
    <x v="5"/>
  </r>
  <r>
    <x v="31"/>
    <x v="6"/>
    <x v="13"/>
  </r>
  <r>
    <x v="52"/>
    <x v="8"/>
    <x v="13"/>
  </r>
  <r>
    <x v="31"/>
    <x v="5"/>
    <x v="1"/>
  </r>
  <r>
    <x v="51"/>
    <x v="2"/>
    <x v="13"/>
  </r>
  <r>
    <x v="52"/>
    <x v="4"/>
    <x v="13"/>
  </r>
  <r>
    <x v="15"/>
    <x v="4"/>
    <x v="13"/>
  </r>
  <r>
    <x v="51"/>
    <x v="0"/>
    <x v="1"/>
  </r>
  <r>
    <x v="21"/>
    <x v="11"/>
    <x v="5"/>
  </r>
  <r>
    <x v="25"/>
    <x v="11"/>
    <x v="3"/>
  </r>
  <r>
    <x v="25"/>
    <x v="0"/>
    <x v="3"/>
  </r>
  <r>
    <x v="53"/>
    <x v="6"/>
    <x v="13"/>
  </r>
  <r>
    <x v="53"/>
    <x v="1"/>
    <x v="3"/>
  </r>
  <r>
    <x v="14"/>
    <x v="5"/>
    <x v="13"/>
  </r>
  <r>
    <x v="21"/>
    <x v="10"/>
    <x v="1"/>
  </r>
  <r>
    <x v="21"/>
    <x v="2"/>
    <x v="1"/>
  </r>
  <r>
    <x v="25"/>
    <x v="6"/>
    <x v="13"/>
  </r>
  <r>
    <x v="21"/>
    <x v="4"/>
    <x v="1"/>
  </r>
  <r>
    <x v="21"/>
    <x v="7"/>
    <x v="13"/>
  </r>
  <r>
    <x v="53"/>
    <x v="11"/>
    <x v="13"/>
  </r>
  <r>
    <x v="21"/>
    <x v="0"/>
    <x v="1"/>
  </r>
  <r>
    <x v="21"/>
    <x v="6"/>
    <x v="13"/>
  </r>
  <r>
    <x v="10"/>
    <x v="5"/>
    <x v="13"/>
  </r>
  <r>
    <x v="53"/>
    <x v="7"/>
    <x v="1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7">
  <r>
    <x v="0"/>
    <x v="0"/>
    <x v="0"/>
  </r>
  <r>
    <x v="1"/>
    <x v="1"/>
    <x v="1"/>
  </r>
  <r>
    <x v="1"/>
    <x v="2"/>
    <x v="2"/>
  </r>
  <r>
    <x v="2"/>
    <x v="3"/>
    <x v="1"/>
  </r>
  <r>
    <x v="2"/>
    <x v="0"/>
    <x v="2"/>
  </r>
  <r>
    <x v="1"/>
    <x v="4"/>
    <x v="1"/>
  </r>
  <r>
    <x v="2"/>
    <x v="5"/>
    <x v="3"/>
  </r>
  <r>
    <x v="2"/>
    <x v="6"/>
    <x v="1"/>
  </r>
  <r>
    <x v="2"/>
    <x v="2"/>
    <x v="4"/>
  </r>
  <r>
    <x v="1"/>
    <x v="7"/>
    <x v="1"/>
  </r>
  <r>
    <x v="1"/>
    <x v="8"/>
    <x v="1"/>
  </r>
  <r>
    <x v="1"/>
    <x v="0"/>
    <x v="0"/>
  </r>
  <r>
    <x v="1"/>
    <x v="6"/>
    <x v="3"/>
  </r>
  <r>
    <x v="3"/>
    <x v="7"/>
    <x v="4"/>
  </r>
  <r>
    <x v="3"/>
    <x v="3"/>
    <x v="1"/>
  </r>
  <r>
    <x v="4"/>
    <x v="9"/>
    <x v="5"/>
  </r>
  <r>
    <x v="4"/>
    <x v="5"/>
    <x v="6"/>
  </r>
  <r>
    <x v="4"/>
    <x v="6"/>
    <x v="7"/>
  </r>
  <r>
    <x v="4"/>
    <x v="1"/>
    <x v="8"/>
  </r>
  <r>
    <x v="4"/>
    <x v="10"/>
    <x v="9"/>
  </r>
  <r>
    <x v="4"/>
    <x v="11"/>
    <x v="5"/>
  </r>
  <r>
    <x v="4"/>
    <x v="4"/>
    <x v="5"/>
  </r>
  <r>
    <x v="4"/>
    <x v="2"/>
    <x v="5"/>
  </r>
  <r>
    <x v="4"/>
    <x v="8"/>
    <x v="9"/>
  </r>
  <r>
    <x v="4"/>
    <x v="3"/>
    <x v="5"/>
  </r>
  <r>
    <x v="4"/>
    <x v="7"/>
    <x v="5"/>
  </r>
  <r>
    <x v="4"/>
    <x v="0"/>
    <x v="10"/>
  </r>
  <r>
    <x v="1"/>
    <x v="10"/>
    <x v="11"/>
  </r>
  <r>
    <x v="5"/>
    <x v="10"/>
    <x v="5"/>
  </r>
  <r>
    <x v="5"/>
    <x v="7"/>
    <x v="12"/>
  </r>
  <r>
    <x v="5"/>
    <x v="6"/>
    <x v="13"/>
  </r>
  <r>
    <x v="5"/>
    <x v="5"/>
    <x v="0"/>
  </r>
  <r>
    <x v="5"/>
    <x v="1"/>
    <x v="13"/>
  </r>
  <r>
    <x v="5"/>
    <x v="0"/>
    <x v="6"/>
  </r>
  <r>
    <x v="5"/>
    <x v="9"/>
    <x v="7"/>
  </r>
  <r>
    <x v="6"/>
    <x v="3"/>
    <x v="14"/>
  </r>
  <r>
    <x v="6"/>
    <x v="6"/>
    <x v="0"/>
  </r>
  <r>
    <x v="6"/>
    <x v="0"/>
    <x v="11"/>
  </r>
  <r>
    <x v="6"/>
    <x v="7"/>
    <x v="3"/>
  </r>
  <r>
    <x v="6"/>
    <x v="10"/>
    <x v="3"/>
  </r>
  <r>
    <x v="6"/>
    <x v="5"/>
    <x v="7"/>
  </r>
  <r>
    <x v="6"/>
    <x v="8"/>
    <x v="13"/>
  </r>
  <r>
    <x v="6"/>
    <x v="4"/>
    <x v="11"/>
  </r>
  <r>
    <x v="7"/>
    <x v="5"/>
    <x v="4"/>
  </r>
  <r>
    <x v="7"/>
    <x v="11"/>
    <x v="4"/>
  </r>
  <r>
    <x v="7"/>
    <x v="8"/>
    <x v="2"/>
  </r>
  <r>
    <x v="7"/>
    <x v="2"/>
    <x v="4"/>
  </r>
  <r>
    <x v="8"/>
    <x v="0"/>
    <x v="14"/>
  </r>
  <r>
    <x v="8"/>
    <x v="11"/>
    <x v="3"/>
  </r>
  <r>
    <x v="8"/>
    <x v="5"/>
    <x v="2"/>
  </r>
  <r>
    <x v="7"/>
    <x v="1"/>
    <x v="2"/>
  </r>
  <r>
    <x v="9"/>
    <x v="5"/>
    <x v="2"/>
  </r>
  <r>
    <x v="9"/>
    <x v="7"/>
    <x v="2"/>
  </r>
  <r>
    <x v="9"/>
    <x v="0"/>
    <x v="1"/>
  </r>
  <r>
    <x v="9"/>
    <x v="2"/>
    <x v="4"/>
  </r>
  <r>
    <x v="10"/>
    <x v="3"/>
    <x v="4"/>
  </r>
  <r>
    <x v="10"/>
    <x v="2"/>
    <x v="4"/>
  </r>
  <r>
    <x v="5"/>
    <x v="8"/>
    <x v="3"/>
  </r>
  <r>
    <x v="11"/>
    <x v="7"/>
    <x v="13"/>
  </r>
  <r>
    <x v="12"/>
    <x v="6"/>
    <x v="2"/>
  </r>
  <r>
    <x v="12"/>
    <x v="10"/>
    <x v="4"/>
  </r>
  <r>
    <x v="12"/>
    <x v="5"/>
    <x v="1"/>
  </r>
  <r>
    <x v="2"/>
    <x v="11"/>
    <x v="1"/>
  </r>
  <r>
    <x v="2"/>
    <x v="8"/>
    <x v="2"/>
  </r>
  <r>
    <x v="2"/>
    <x v="4"/>
    <x v="2"/>
  </r>
  <r>
    <x v="2"/>
    <x v="9"/>
    <x v="3"/>
  </r>
  <r>
    <x v="2"/>
    <x v="7"/>
    <x v="4"/>
  </r>
  <r>
    <x v="13"/>
    <x v="0"/>
    <x v="1"/>
  </r>
  <r>
    <x v="11"/>
    <x v="5"/>
    <x v="12"/>
  </r>
  <r>
    <x v="8"/>
    <x v="3"/>
    <x v="0"/>
  </r>
  <r>
    <x v="8"/>
    <x v="1"/>
    <x v="11"/>
  </r>
  <r>
    <x v="8"/>
    <x v="6"/>
    <x v="2"/>
  </r>
  <r>
    <x v="8"/>
    <x v="7"/>
    <x v="3"/>
  </r>
  <r>
    <x v="11"/>
    <x v="1"/>
    <x v="13"/>
  </r>
  <r>
    <x v="11"/>
    <x v="0"/>
    <x v="13"/>
  </r>
  <r>
    <x v="11"/>
    <x v="10"/>
    <x v="15"/>
  </r>
  <r>
    <x v="2"/>
    <x v="10"/>
    <x v="4"/>
  </r>
  <r>
    <x v="5"/>
    <x v="4"/>
    <x v="14"/>
  </r>
  <r>
    <x v="5"/>
    <x v="11"/>
    <x v="14"/>
  </r>
  <r>
    <x v="5"/>
    <x v="2"/>
    <x v="7"/>
  </r>
  <r>
    <x v="14"/>
    <x v="10"/>
    <x v="1"/>
  </r>
  <r>
    <x v="14"/>
    <x v="1"/>
    <x v="4"/>
  </r>
  <r>
    <x v="14"/>
    <x v="4"/>
    <x v="11"/>
  </r>
  <r>
    <x v="15"/>
    <x v="10"/>
    <x v="0"/>
  </r>
  <r>
    <x v="16"/>
    <x v="8"/>
    <x v="2"/>
  </r>
  <r>
    <x v="15"/>
    <x v="3"/>
    <x v="6"/>
  </r>
  <r>
    <x v="15"/>
    <x v="4"/>
    <x v="9"/>
  </r>
  <r>
    <x v="17"/>
    <x v="1"/>
    <x v="3"/>
  </r>
  <r>
    <x v="17"/>
    <x v="6"/>
    <x v="2"/>
  </r>
  <r>
    <x v="17"/>
    <x v="2"/>
    <x v="1"/>
  </r>
  <r>
    <x v="17"/>
    <x v="7"/>
    <x v="3"/>
  </r>
  <r>
    <x v="18"/>
    <x v="4"/>
    <x v="4"/>
  </r>
  <r>
    <x v="19"/>
    <x v="0"/>
    <x v="1"/>
  </r>
  <r>
    <x v="19"/>
    <x v="6"/>
    <x v="2"/>
  </r>
  <r>
    <x v="19"/>
    <x v="5"/>
    <x v="2"/>
  </r>
  <r>
    <x v="19"/>
    <x v="10"/>
    <x v="4"/>
  </r>
  <r>
    <x v="19"/>
    <x v="2"/>
    <x v="2"/>
  </r>
  <r>
    <x v="20"/>
    <x v="9"/>
    <x v="4"/>
  </r>
  <r>
    <x v="21"/>
    <x v="8"/>
    <x v="2"/>
  </r>
  <r>
    <x v="21"/>
    <x v="0"/>
    <x v="4"/>
  </r>
  <r>
    <x v="0"/>
    <x v="4"/>
    <x v="0"/>
  </r>
  <r>
    <x v="0"/>
    <x v="5"/>
    <x v="0"/>
  </r>
  <r>
    <x v="0"/>
    <x v="7"/>
    <x v="0"/>
  </r>
  <r>
    <x v="0"/>
    <x v="3"/>
    <x v="3"/>
  </r>
  <r>
    <x v="22"/>
    <x v="11"/>
    <x v="4"/>
  </r>
  <r>
    <x v="22"/>
    <x v="8"/>
    <x v="2"/>
  </r>
  <r>
    <x v="22"/>
    <x v="5"/>
    <x v="2"/>
  </r>
  <r>
    <x v="22"/>
    <x v="4"/>
    <x v="4"/>
  </r>
  <r>
    <x v="22"/>
    <x v="6"/>
    <x v="4"/>
  </r>
  <r>
    <x v="17"/>
    <x v="3"/>
    <x v="3"/>
  </r>
  <r>
    <x v="17"/>
    <x v="4"/>
    <x v="4"/>
  </r>
  <r>
    <x v="0"/>
    <x v="2"/>
    <x v="2"/>
  </r>
  <r>
    <x v="0"/>
    <x v="9"/>
    <x v="2"/>
  </r>
  <r>
    <x v="0"/>
    <x v="8"/>
    <x v="1"/>
  </r>
  <r>
    <x v="11"/>
    <x v="4"/>
    <x v="3"/>
  </r>
  <r>
    <x v="11"/>
    <x v="9"/>
    <x v="13"/>
  </r>
  <r>
    <x v="23"/>
    <x v="7"/>
    <x v="1"/>
  </r>
  <r>
    <x v="23"/>
    <x v="8"/>
    <x v="2"/>
  </r>
  <r>
    <x v="24"/>
    <x v="10"/>
    <x v="1"/>
  </r>
  <r>
    <x v="24"/>
    <x v="3"/>
    <x v="2"/>
  </r>
  <r>
    <x v="25"/>
    <x v="10"/>
    <x v="1"/>
  </r>
  <r>
    <x v="25"/>
    <x v="8"/>
    <x v="2"/>
  </r>
  <r>
    <x v="26"/>
    <x v="8"/>
    <x v="4"/>
  </r>
  <r>
    <x v="0"/>
    <x v="1"/>
    <x v="0"/>
  </r>
  <r>
    <x v="6"/>
    <x v="2"/>
    <x v="11"/>
  </r>
  <r>
    <x v="6"/>
    <x v="9"/>
    <x v="3"/>
  </r>
  <r>
    <x v="27"/>
    <x v="10"/>
    <x v="4"/>
  </r>
  <r>
    <x v="27"/>
    <x v="4"/>
    <x v="4"/>
  </r>
  <r>
    <x v="27"/>
    <x v="8"/>
    <x v="4"/>
  </r>
  <r>
    <x v="28"/>
    <x v="5"/>
    <x v="4"/>
  </r>
  <r>
    <x v="28"/>
    <x v="1"/>
    <x v="4"/>
  </r>
  <r>
    <x v="28"/>
    <x v="7"/>
    <x v="4"/>
  </r>
  <r>
    <x v="29"/>
    <x v="9"/>
    <x v="11"/>
  </r>
  <r>
    <x v="29"/>
    <x v="4"/>
    <x v="1"/>
  </r>
  <r>
    <x v="30"/>
    <x v="5"/>
    <x v="4"/>
  </r>
  <r>
    <x v="30"/>
    <x v="1"/>
    <x v="4"/>
  </r>
  <r>
    <x v="30"/>
    <x v="0"/>
    <x v="11"/>
  </r>
  <r>
    <x v="30"/>
    <x v="10"/>
    <x v="4"/>
  </r>
  <r>
    <x v="30"/>
    <x v="11"/>
    <x v="1"/>
  </r>
  <r>
    <x v="30"/>
    <x v="4"/>
    <x v="1"/>
  </r>
  <r>
    <x v="30"/>
    <x v="6"/>
    <x v="4"/>
  </r>
  <r>
    <x v="30"/>
    <x v="8"/>
    <x v="3"/>
  </r>
  <r>
    <x v="14"/>
    <x v="8"/>
    <x v="1"/>
  </r>
  <r>
    <x v="14"/>
    <x v="9"/>
    <x v="1"/>
  </r>
  <r>
    <x v="14"/>
    <x v="7"/>
    <x v="1"/>
  </r>
  <r>
    <x v="14"/>
    <x v="2"/>
    <x v="2"/>
  </r>
  <r>
    <x v="14"/>
    <x v="3"/>
    <x v="2"/>
  </r>
  <r>
    <x v="14"/>
    <x v="6"/>
    <x v="1"/>
  </r>
  <r>
    <x v="14"/>
    <x v="0"/>
    <x v="1"/>
  </r>
  <r>
    <x v="14"/>
    <x v="11"/>
    <x v="2"/>
  </r>
  <r>
    <x v="31"/>
    <x v="2"/>
    <x v="1"/>
  </r>
  <r>
    <x v="31"/>
    <x v="3"/>
    <x v="4"/>
  </r>
  <r>
    <x v="31"/>
    <x v="4"/>
    <x v="4"/>
  </r>
  <r>
    <x v="31"/>
    <x v="7"/>
    <x v="4"/>
  </r>
  <r>
    <x v="32"/>
    <x v="1"/>
    <x v="1"/>
  </r>
  <r>
    <x v="32"/>
    <x v="11"/>
    <x v="6"/>
  </r>
  <r>
    <x v="32"/>
    <x v="9"/>
    <x v="0"/>
  </r>
  <r>
    <x v="32"/>
    <x v="8"/>
    <x v="13"/>
  </r>
  <r>
    <x v="32"/>
    <x v="2"/>
    <x v="1"/>
  </r>
  <r>
    <x v="32"/>
    <x v="3"/>
    <x v="11"/>
  </r>
  <r>
    <x v="32"/>
    <x v="7"/>
    <x v="3"/>
  </r>
  <r>
    <x v="32"/>
    <x v="4"/>
    <x v="3"/>
  </r>
  <r>
    <x v="33"/>
    <x v="4"/>
    <x v="4"/>
  </r>
  <r>
    <x v="33"/>
    <x v="9"/>
    <x v="4"/>
  </r>
  <r>
    <x v="33"/>
    <x v="1"/>
    <x v="4"/>
  </r>
  <r>
    <x v="25"/>
    <x v="7"/>
    <x v="2"/>
  </r>
  <r>
    <x v="25"/>
    <x v="11"/>
    <x v="11"/>
  </r>
  <r>
    <x v="25"/>
    <x v="2"/>
    <x v="4"/>
  </r>
  <r>
    <x v="25"/>
    <x v="9"/>
    <x v="2"/>
  </r>
  <r>
    <x v="25"/>
    <x v="0"/>
    <x v="2"/>
  </r>
  <r>
    <x v="34"/>
    <x v="11"/>
    <x v="4"/>
  </r>
  <r>
    <x v="32"/>
    <x v="10"/>
    <x v="1"/>
  </r>
  <r>
    <x v="35"/>
    <x v="11"/>
    <x v="2"/>
  </r>
  <r>
    <x v="32"/>
    <x v="0"/>
    <x v="1"/>
  </r>
  <r>
    <x v="23"/>
    <x v="4"/>
    <x v="4"/>
  </r>
  <r>
    <x v="23"/>
    <x v="11"/>
    <x v="4"/>
  </r>
  <r>
    <x v="23"/>
    <x v="2"/>
    <x v="4"/>
  </r>
  <r>
    <x v="23"/>
    <x v="10"/>
    <x v="4"/>
  </r>
  <r>
    <x v="36"/>
    <x v="7"/>
    <x v="4"/>
  </r>
  <r>
    <x v="37"/>
    <x v="11"/>
    <x v="4"/>
  </r>
  <r>
    <x v="37"/>
    <x v="5"/>
    <x v="4"/>
  </r>
  <r>
    <x v="37"/>
    <x v="10"/>
    <x v="4"/>
  </r>
  <r>
    <x v="37"/>
    <x v="1"/>
    <x v="4"/>
  </r>
  <r>
    <x v="11"/>
    <x v="11"/>
    <x v="9"/>
  </r>
  <r>
    <x v="11"/>
    <x v="8"/>
    <x v="0"/>
  </r>
  <r>
    <x v="11"/>
    <x v="2"/>
    <x v="0"/>
  </r>
  <r>
    <x v="15"/>
    <x v="0"/>
    <x v="3"/>
  </r>
  <r>
    <x v="15"/>
    <x v="7"/>
    <x v="13"/>
  </r>
  <r>
    <x v="15"/>
    <x v="6"/>
    <x v="6"/>
  </r>
  <r>
    <x v="15"/>
    <x v="9"/>
    <x v="13"/>
  </r>
  <r>
    <x v="38"/>
    <x v="2"/>
    <x v="7"/>
  </r>
  <r>
    <x v="38"/>
    <x v="9"/>
    <x v="1"/>
  </r>
  <r>
    <x v="38"/>
    <x v="8"/>
    <x v="11"/>
  </r>
  <r>
    <x v="38"/>
    <x v="1"/>
    <x v="11"/>
  </r>
  <r>
    <x v="38"/>
    <x v="0"/>
    <x v="1"/>
  </r>
  <r>
    <x v="38"/>
    <x v="7"/>
    <x v="3"/>
  </r>
  <r>
    <x v="15"/>
    <x v="8"/>
    <x v="9"/>
  </r>
  <r>
    <x v="15"/>
    <x v="11"/>
    <x v="3"/>
  </r>
  <r>
    <x v="15"/>
    <x v="2"/>
    <x v="13"/>
  </r>
  <r>
    <x v="29"/>
    <x v="0"/>
    <x v="0"/>
  </r>
  <r>
    <x v="29"/>
    <x v="10"/>
    <x v="2"/>
  </r>
  <r>
    <x v="29"/>
    <x v="11"/>
    <x v="7"/>
  </r>
  <r>
    <x v="29"/>
    <x v="8"/>
    <x v="14"/>
  </r>
  <r>
    <x v="29"/>
    <x v="3"/>
    <x v="11"/>
  </r>
  <r>
    <x v="29"/>
    <x v="5"/>
    <x v="0"/>
  </r>
  <r>
    <x v="3"/>
    <x v="10"/>
    <x v="2"/>
  </r>
  <r>
    <x v="3"/>
    <x v="2"/>
    <x v="1"/>
  </r>
  <r>
    <x v="3"/>
    <x v="9"/>
    <x v="4"/>
  </r>
  <r>
    <x v="3"/>
    <x v="5"/>
    <x v="4"/>
  </r>
  <r>
    <x v="3"/>
    <x v="6"/>
    <x v="2"/>
  </r>
  <r>
    <x v="3"/>
    <x v="4"/>
    <x v="4"/>
  </r>
  <r>
    <x v="3"/>
    <x v="11"/>
    <x v="2"/>
  </r>
  <r>
    <x v="6"/>
    <x v="11"/>
    <x v="7"/>
  </r>
  <r>
    <x v="6"/>
    <x v="1"/>
    <x v="7"/>
  </r>
  <r>
    <x v="39"/>
    <x v="1"/>
    <x v="2"/>
  </r>
  <r>
    <x v="39"/>
    <x v="4"/>
    <x v="4"/>
  </r>
  <r>
    <x v="39"/>
    <x v="7"/>
    <x v="4"/>
  </r>
  <r>
    <x v="11"/>
    <x v="3"/>
    <x v="16"/>
  </r>
  <r>
    <x v="30"/>
    <x v="2"/>
    <x v="2"/>
  </r>
  <r>
    <x v="40"/>
    <x v="3"/>
    <x v="11"/>
  </r>
  <r>
    <x v="15"/>
    <x v="1"/>
    <x v="9"/>
  </r>
  <r>
    <x v="17"/>
    <x v="11"/>
    <x v="11"/>
  </r>
  <r>
    <x v="8"/>
    <x v="9"/>
    <x v="11"/>
  </r>
  <r>
    <x v="17"/>
    <x v="9"/>
    <x v="2"/>
  </r>
  <r>
    <x v="24"/>
    <x v="11"/>
    <x v="2"/>
  </r>
  <r>
    <x v="24"/>
    <x v="1"/>
    <x v="2"/>
  </r>
  <r>
    <x v="40"/>
    <x v="4"/>
    <x v="2"/>
  </r>
  <r>
    <x v="41"/>
    <x v="8"/>
    <x v="2"/>
  </r>
  <r>
    <x v="41"/>
    <x v="9"/>
    <x v="4"/>
  </r>
  <r>
    <x v="38"/>
    <x v="3"/>
    <x v="1"/>
  </r>
  <r>
    <x v="42"/>
    <x v="1"/>
    <x v="4"/>
  </r>
  <r>
    <x v="42"/>
    <x v="0"/>
    <x v="4"/>
  </r>
  <r>
    <x v="42"/>
    <x v="11"/>
    <x v="4"/>
  </r>
  <r>
    <x v="43"/>
    <x v="2"/>
    <x v="4"/>
  </r>
  <r>
    <x v="43"/>
    <x v="3"/>
    <x v="2"/>
  </r>
  <r>
    <x v="43"/>
    <x v="7"/>
    <x v="4"/>
  </r>
  <r>
    <x v="43"/>
    <x v="4"/>
    <x v="4"/>
  </r>
  <r>
    <x v="43"/>
    <x v="8"/>
    <x v="4"/>
  </r>
  <r>
    <x v="44"/>
    <x v="3"/>
    <x v="4"/>
  </r>
  <r>
    <x v="44"/>
    <x v="10"/>
    <x v="1"/>
  </r>
  <r>
    <x v="44"/>
    <x v="4"/>
    <x v="2"/>
  </r>
  <r>
    <x v="45"/>
    <x v="8"/>
    <x v="1"/>
  </r>
  <r>
    <x v="45"/>
    <x v="3"/>
    <x v="4"/>
  </r>
  <r>
    <x v="45"/>
    <x v="9"/>
    <x v="4"/>
  </r>
  <r>
    <x v="29"/>
    <x v="2"/>
    <x v="11"/>
  </r>
  <r>
    <x v="16"/>
    <x v="10"/>
    <x v="2"/>
  </r>
  <r>
    <x v="16"/>
    <x v="0"/>
    <x v="4"/>
  </r>
  <r>
    <x v="33"/>
    <x v="3"/>
    <x v="4"/>
  </r>
  <r>
    <x v="46"/>
    <x v="3"/>
    <x v="4"/>
  </r>
  <r>
    <x v="8"/>
    <x v="10"/>
    <x v="4"/>
  </r>
  <r>
    <x v="8"/>
    <x v="2"/>
    <x v="11"/>
  </r>
  <r>
    <x v="8"/>
    <x v="8"/>
    <x v="11"/>
  </r>
  <r>
    <x v="47"/>
    <x v="3"/>
    <x v="4"/>
  </r>
  <r>
    <x v="29"/>
    <x v="6"/>
    <x v="3"/>
  </r>
  <r>
    <x v="29"/>
    <x v="1"/>
    <x v="0"/>
  </r>
  <r>
    <x v="48"/>
    <x v="1"/>
    <x v="4"/>
  </r>
  <r>
    <x v="18"/>
    <x v="8"/>
    <x v="4"/>
  </r>
  <r>
    <x v="5"/>
    <x v="3"/>
    <x v="0"/>
  </r>
  <r>
    <x v="41"/>
    <x v="11"/>
    <x v="2"/>
  </r>
  <r>
    <x v="38"/>
    <x v="4"/>
    <x v="11"/>
  </r>
  <r>
    <x v="44"/>
    <x v="6"/>
    <x v="4"/>
  </r>
  <r>
    <x v="17"/>
    <x v="5"/>
    <x v="4"/>
  </r>
  <r>
    <x v="13"/>
    <x v="5"/>
    <x v="2"/>
  </r>
  <r>
    <x v="13"/>
    <x v="6"/>
    <x v="4"/>
  </r>
  <r>
    <x v="13"/>
    <x v="1"/>
    <x v="4"/>
  </r>
  <r>
    <x v="13"/>
    <x v="9"/>
    <x v="2"/>
  </r>
  <r>
    <x v="40"/>
    <x v="1"/>
    <x v="2"/>
  </r>
  <r>
    <x v="24"/>
    <x v="8"/>
    <x v="4"/>
  </r>
  <r>
    <x v="41"/>
    <x v="3"/>
    <x v="2"/>
  </r>
  <r>
    <x v="41"/>
    <x v="7"/>
    <x v="4"/>
  </r>
  <r>
    <x v="38"/>
    <x v="6"/>
    <x v="1"/>
  </r>
  <r>
    <x v="12"/>
    <x v="0"/>
    <x v="4"/>
  </r>
  <r>
    <x v="12"/>
    <x v="2"/>
    <x v="4"/>
  </r>
  <r>
    <x v="40"/>
    <x v="7"/>
    <x v="4"/>
  </r>
  <r>
    <x v="42"/>
    <x v="4"/>
    <x v="4"/>
  </r>
  <r>
    <x v="33"/>
    <x v="6"/>
    <x v="4"/>
  </r>
  <r>
    <x v="26"/>
    <x v="0"/>
    <x v="4"/>
  </r>
  <r>
    <x v="32"/>
    <x v="5"/>
    <x v="0"/>
  </r>
  <r>
    <x v="17"/>
    <x v="0"/>
    <x v="14"/>
  </r>
  <r>
    <x v="3"/>
    <x v="1"/>
    <x v="4"/>
  </r>
  <r>
    <x v="39"/>
    <x v="8"/>
    <x v="4"/>
  </r>
  <r>
    <x v="49"/>
    <x v="9"/>
    <x v="4"/>
  </r>
  <r>
    <x v="50"/>
    <x v="5"/>
    <x v="4"/>
  </r>
  <r>
    <x v="35"/>
    <x v="3"/>
    <x v="2"/>
  </r>
  <r>
    <x v="35"/>
    <x v="9"/>
    <x v="11"/>
  </r>
  <r>
    <x v="0"/>
    <x v="6"/>
    <x v="11"/>
  </r>
  <r>
    <x v="0"/>
    <x v="10"/>
    <x v="2"/>
  </r>
  <r>
    <x v="0"/>
    <x v="11"/>
    <x v="1"/>
  </r>
  <r>
    <x v="50"/>
    <x v="2"/>
    <x v="4"/>
  </r>
  <r>
    <x v="15"/>
    <x v="5"/>
    <x v="0"/>
  </r>
  <r>
    <x v="35"/>
    <x v="2"/>
    <x v="2"/>
  </r>
  <r>
    <x v="35"/>
    <x v="4"/>
    <x v="2"/>
  </r>
  <r>
    <x v="51"/>
    <x v="9"/>
    <x v="4"/>
  </r>
  <r>
    <x v="42"/>
    <x v="6"/>
    <x v="2"/>
  </r>
  <r>
    <x v="27"/>
    <x v="9"/>
    <x v="4"/>
  </r>
  <r>
    <x v="42"/>
    <x v="7"/>
    <x v="4"/>
  </r>
  <r>
    <x v="52"/>
    <x v="6"/>
    <x v="4"/>
  </r>
  <r>
    <x v="26"/>
    <x v="7"/>
    <x v="4"/>
  </r>
  <r>
    <x v="26"/>
    <x v="11"/>
    <x v="4"/>
  </r>
  <r>
    <x v="38"/>
    <x v="10"/>
    <x v="1"/>
  </r>
  <r>
    <x v="45"/>
    <x v="7"/>
    <x v="4"/>
  </r>
  <r>
    <x v="48"/>
    <x v="0"/>
    <x v="4"/>
  </r>
  <r>
    <x v="14"/>
    <x v="5"/>
    <x v="4"/>
  </r>
  <r>
    <x v="35"/>
    <x v="10"/>
    <x v="2"/>
  </r>
  <r>
    <x v="7"/>
    <x v="6"/>
    <x v="4"/>
  </r>
  <r>
    <x v="25"/>
    <x v="1"/>
    <x v="4"/>
  </r>
  <r>
    <x v="9"/>
    <x v="10"/>
    <x v="4"/>
  </r>
  <r>
    <x v="36"/>
    <x v="6"/>
    <x v="4"/>
  </r>
  <r>
    <x v="38"/>
    <x v="5"/>
    <x v="4"/>
  </r>
  <r>
    <x v="29"/>
    <x v="7"/>
    <x v="1"/>
  </r>
  <r>
    <x v="11"/>
    <x v="6"/>
    <x v="2"/>
  </r>
  <r>
    <x v="17"/>
    <x v="8"/>
    <x v="1"/>
  </r>
  <r>
    <x v="27"/>
    <x v="0"/>
    <x v="4"/>
  </r>
  <r>
    <x v="44"/>
    <x v="2"/>
    <x v="4"/>
  </r>
  <r>
    <x v="33"/>
    <x v="5"/>
    <x v="2"/>
  </r>
  <r>
    <x v="33"/>
    <x v="7"/>
    <x v="4"/>
  </r>
  <r>
    <x v="43"/>
    <x v="10"/>
    <x v="4"/>
  </r>
  <r>
    <x v="43"/>
    <x v="0"/>
    <x v="4"/>
  </r>
  <r>
    <x v="44"/>
    <x v="8"/>
    <x v="4"/>
  </r>
  <r>
    <x v="28"/>
    <x v="3"/>
    <x v="4"/>
  </r>
  <r>
    <x v="28"/>
    <x v="4"/>
    <x v="4"/>
  </r>
  <r>
    <x v="10"/>
    <x v="6"/>
    <x v="4"/>
  </r>
  <r>
    <x v="28"/>
    <x v="11"/>
    <x v="4"/>
  </r>
  <r>
    <x v="10"/>
    <x v="10"/>
    <x v="2"/>
  </r>
  <r>
    <x v="1"/>
    <x v="11"/>
    <x v="2"/>
  </r>
  <r>
    <x v="33"/>
    <x v="10"/>
    <x v="4"/>
  </r>
  <r>
    <x v="33"/>
    <x v="2"/>
    <x v="4"/>
  </r>
  <r>
    <x v="32"/>
    <x v="6"/>
    <x v="4"/>
  </r>
  <r>
    <x v="38"/>
    <x v="11"/>
    <x v="4"/>
  </r>
  <r>
    <x v="1"/>
    <x v="9"/>
    <x v="4"/>
  </r>
  <r>
    <x v="2"/>
    <x v="1"/>
    <x v="4"/>
  </r>
  <r>
    <x v="53"/>
    <x v="7"/>
    <x v="4"/>
  </r>
  <r>
    <x v="21"/>
    <x v="4"/>
    <x v="4"/>
  </r>
  <r>
    <x v="21"/>
    <x v="9"/>
    <x v="4"/>
  </r>
  <r>
    <x v="17"/>
    <x v="10"/>
    <x v="4"/>
  </r>
  <r>
    <x v="20"/>
    <x v="5"/>
    <x v="4"/>
  </r>
  <r>
    <x v="27"/>
    <x v="6"/>
    <x v="4"/>
  </r>
  <r>
    <x v="27"/>
    <x v="5"/>
    <x v="4"/>
  </r>
  <r>
    <x v="18"/>
    <x v="10"/>
    <x v="4"/>
  </r>
  <r>
    <x v="18"/>
    <x v="11"/>
    <x v="4"/>
  </r>
  <r>
    <x v="19"/>
    <x v="3"/>
    <x v="2"/>
  </r>
  <r>
    <x v="19"/>
    <x v="4"/>
    <x v="4"/>
  </r>
  <r>
    <x v="1"/>
    <x v="3"/>
    <x v="4"/>
  </r>
  <r>
    <x v="23"/>
    <x v="5"/>
    <x v="4"/>
  </r>
  <r>
    <x v="35"/>
    <x v="6"/>
    <x v="2"/>
  </r>
  <r>
    <x v="35"/>
    <x v="0"/>
    <x v="2"/>
  </r>
  <r>
    <x v="31"/>
    <x v="8"/>
    <x v="4"/>
  </r>
  <r>
    <x v="31"/>
    <x v="9"/>
    <x v="4"/>
  </r>
  <r>
    <x v="35"/>
    <x v="1"/>
    <x v="4"/>
  </r>
  <r>
    <x v="9"/>
    <x v="6"/>
    <x v="2"/>
  </r>
  <r>
    <x v="9"/>
    <x v="1"/>
    <x v="4"/>
  </r>
  <r>
    <x v="35"/>
    <x v="7"/>
    <x v="4"/>
  </r>
  <r>
    <x v="9"/>
    <x v="3"/>
    <x v="4"/>
  </r>
  <r>
    <x v="51"/>
    <x v="10"/>
    <x v="4"/>
  </r>
  <r>
    <x v="51"/>
    <x v="3"/>
    <x v="4"/>
  </r>
  <r>
    <x v="51"/>
    <x v="7"/>
    <x v="4"/>
  </r>
  <r>
    <x v="20"/>
    <x v="2"/>
    <x v="4"/>
  </r>
  <r>
    <x v="45"/>
    <x v="11"/>
    <x v="2"/>
  </r>
  <r>
    <x v="25"/>
    <x v="5"/>
    <x v="4"/>
  </r>
  <r>
    <x v="41"/>
    <x v="2"/>
    <x v="1"/>
  </r>
  <r>
    <x v="53"/>
    <x v="5"/>
    <x v="4"/>
  </r>
  <r>
    <x v="3"/>
    <x v="0"/>
    <x v="2"/>
  </r>
  <r>
    <x v="41"/>
    <x v="5"/>
    <x v="4"/>
  </r>
  <r>
    <x v="13"/>
    <x v="2"/>
    <x v="4"/>
  </r>
  <r>
    <x v="13"/>
    <x v="3"/>
    <x v="4"/>
  </r>
  <r>
    <x v="39"/>
    <x v="3"/>
    <x v="4"/>
  </r>
  <r>
    <x v="35"/>
    <x v="5"/>
    <x v="4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5">
  <r>
    <x v="0"/>
    <x v="0"/>
    <x v="0"/>
    <n v="281"/>
  </r>
  <r>
    <x v="0"/>
    <x v="0"/>
    <x v="1"/>
    <n v="167"/>
  </r>
  <r>
    <x v="1"/>
    <x v="1"/>
    <x v="2"/>
    <n v="92"/>
  </r>
  <r>
    <x v="1"/>
    <x v="1"/>
    <x v="3"/>
    <n v="164"/>
  </r>
  <r>
    <x v="1"/>
    <x v="1"/>
    <x v="4"/>
    <n v="171"/>
  </r>
  <r>
    <x v="1"/>
    <x v="2"/>
    <x v="5"/>
    <n v="395"/>
  </r>
  <r>
    <x v="1"/>
    <x v="1"/>
    <x v="5"/>
    <n v="299"/>
  </r>
  <r>
    <x v="0"/>
    <x v="3"/>
    <x v="5"/>
    <n v="326"/>
  </r>
  <r>
    <x v="0"/>
    <x v="3"/>
    <x v="3"/>
    <n v="286"/>
  </r>
  <r>
    <x v="0"/>
    <x v="3"/>
    <x v="0"/>
    <n v="231"/>
  </r>
  <r>
    <x v="0"/>
    <x v="4"/>
    <x v="1"/>
    <n v="53"/>
  </r>
  <r>
    <x v="1"/>
    <x v="1"/>
    <x v="1"/>
    <n v="135"/>
  </r>
  <r>
    <x v="1"/>
    <x v="1"/>
    <x v="0"/>
    <n v="386"/>
  </r>
  <r>
    <x v="0"/>
    <x v="5"/>
    <x v="1"/>
    <n v="172"/>
  </r>
  <r>
    <x v="0"/>
    <x v="5"/>
    <x v="2"/>
    <n v="134"/>
  </r>
  <r>
    <x v="0"/>
    <x v="5"/>
    <x v="4"/>
    <n v="138"/>
  </r>
  <r>
    <x v="0"/>
    <x v="5"/>
    <x v="6"/>
    <n v="162"/>
  </r>
  <r>
    <x v="0"/>
    <x v="5"/>
    <x v="5"/>
    <n v="356"/>
  </r>
  <r>
    <x v="0"/>
    <x v="6"/>
    <x v="6"/>
    <n v="62"/>
  </r>
  <r>
    <x v="0"/>
    <x v="7"/>
    <x v="1"/>
    <n v="151"/>
  </r>
  <r>
    <x v="0"/>
    <x v="7"/>
    <x v="6"/>
    <n v="167"/>
  </r>
  <r>
    <x v="0"/>
    <x v="7"/>
    <x v="3"/>
    <n v="201"/>
  </r>
  <r>
    <x v="0"/>
    <x v="7"/>
    <x v="4"/>
    <n v="144"/>
  </r>
  <r>
    <x v="0"/>
    <x v="8"/>
    <x v="1"/>
    <n v="62"/>
  </r>
  <r>
    <x v="0"/>
    <x v="8"/>
    <x v="0"/>
    <n v="81"/>
  </r>
  <r>
    <x v="1"/>
    <x v="1"/>
    <x v="6"/>
    <n v="121"/>
  </r>
  <r>
    <x v="0"/>
    <x v="0"/>
    <x v="5"/>
    <n v="271"/>
  </r>
  <r>
    <x v="0"/>
    <x v="0"/>
    <x v="3"/>
    <n v="233"/>
  </r>
  <r>
    <x v="0"/>
    <x v="0"/>
    <x v="6"/>
    <n v="177"/>
  </r>
  <r>
    <x v="0"/>
    <x v="5"/>
    <x v="0"/>
    <n v="245"/>
  </r>
  <r>
    <x v="0"/>
    <x v="9"/>
    <x v="6"/>
    <n v="167"/>
  </r>
  <r>
    <x v="0"/>
    <x v="9"/>
    <x v="3"/>
    <n v="189"/>
  </r>
  <r>
    <x v="0"/>
    <x v="9"/>
    <x v="1"/>
    <n v="141"/>
  </r>
  <r>
    <x v="0"/>
    <x v="9"/>
    <x v="4"/>
    <n v="131"/>
  </r>
  <r>
    <x v="0"/>
    <x v="10"/>
    <x v="4"/>
    <n v="101"/>
  </r>
  <r>
    <x v="1"/>
    <x v="2"/>
    <x v="2"/>
    <n v="81"/>
  </r>
  <r>
    <x v="0"/>
    <x v="11"/>
    <x v="4"/>
    <n v="125"/>
  </r>
  <r>
    <x v="0"/>
    <x v="11"/>
    <x v="3"/>
    <n v="226"/>
  </r>
  <r>
    <x v="0"/>
    <x v="11"/>
    <x v="5"/>
    <n v="231"/>
  </r>
  <r>
    <x v="0"/>
    <x v="11"/>
    <x v="6"/>
    <n v="154"/>
  </r>
  <r>
    <x v="1"/>
    <x v="12"/>
    <x v="5"/>
    <n v="61"/>
  </r>
  <r>
    <x v="1"/>
    <x v="2"/>
    <x v="0"/>
    <n v="447"/>
  </r>
  <r>
    <x v="0"/>
    <x v="5"/>
    <x v="3"/>
    <n v="293"/>
  </r>
  <r>
    <x v="0"/>
    <x v="13"/>
    <x v="4"/>
    <n v="170"/>
  </r>
  <r>
    <x v="0"/>
    <x v="13"/>
    <x v="0"/>
    <n v="295"/>
  </r>
  <r>
    <x v="0"/>
    <x v="11"/>
    <x v="1"/>
    <n v="154"/>
  </r>
  <r>
    <x v="0"/>
    <x v="11"/>
    <x v="0"/>
    <n v="256"/>
  </r>
  <r>
    <x v="0"/>
    <x v="14"/>
    <x v="0"/>
    <n v="144"/>
  </r>
  <r>
    <x v="0"/>
    <x v="14"/>
    <x v="1"/>
    <n v="78"/>
  </r>
  <r>
    <x v="1"/>
    <x v="15"/>
    <x v="2"/>
    <n v="18"/>
  </r>
  <r>
    <x v="1"/>
    <x v="15"/>
    <x v="0"/>
    <n v="33"/>
  </r>
  <r>
    <x v="1"/>
    <x v="16"/>
    <x v="6"/>
    <n v="47"/>
  </r>
  <r>
    <x v="0"/>
    <x v="10"/>
    <x v="3"/>
    <n v="135"/>
  </r>
  <r>
    <x v="0"/>
    <x v="10"/>
    <x v="5"/>
    <n v="143"/>
  </r>
  <r>
    <x v="0"/>
    <x v="10"/>
    <x v="1"/>
    <n v="104"/>
  </r>
  <r>
    <x v="0"/>
    <x v="10"/>
    <x v="6"/>
    <n v="88"/>
  </r>
  <r>
    <x v="0"/>
    <x v="13"/>
    <x v="5"/>
    <n v="294"/>
  </r>
  <r>
    <x v="0"/>
    <x v="13"/>
    <x v="6"/>
    <n v="178"/>
  </r>
  <r>
    <x v="0"/>
    <x v="4"/>
    <x v="5"/>
    <n v="54"/>
  </r>
  <r>
    <x v="0"/>
    <x v="11"/>
    <x v="2"/>
    <n v="125"/>
  </r>
  <r>
    <x v="0"/>
    <x v="10"/>
    <x v="0"/>
    <n v="171"/>
  </r>
  <r>
    <x v="0"/>
    <x v="13"/>
    <x v="1"/>
    <n v="208"/>
  </r>
  <r>
    <x v="1"/>
    <x v="12"/>
    <x v="4"/>
    <n v="37"/>
  </r>
  <r>
    <x v="0"/>
    <x v="6"/>
    <x v="1"/>
    <n v="53"/>
  </r>
  <r>
    <x v="0"/>
    <x v="8"/>
    <x v="2"/>
    <n v="61"/>
  </r>
  <r>
    <x v="0"/>
    <x v="13"/>
    <x v="2"/>
    <n v="148"/>
  </r>
  <r>
    <x v="0"/>
    <x v="7"/>
    <x v="0"/>
    <n v="230"/>
  </r>
  <r>
    <x v="0"/>
    <x v="7"/>
    <x v="5"/>
    <n v="234"/>
  </r>
  <r>
    <x v="0"/>
    <x v="7"/>
    <x v="2"/>
    <n v="139"/>
  </r>
  <r>
    <x v="0"/>
    <x v="8"/>
    <x v="6"/>
    <n v="67"/>
  </r>
  <r>
    <x v="0"/>
    <x v="8"/>
    <x v="3"/>
    <n v="75"/>
  </r>
  <r>
    <x v="0"/>
    <x v="3"/>
    <x v="1"/>
    <n v="193"/>
  </r>
  <r>
    <x v="0"/>
    <x v="0"/>
    <x v="2"/>
    <n v="158"/>
  </r>
  <r>
    <x v="1"/>
    <x v="2"/>
    <x v="6"/>
    <n v="78"/>
  </r>
  <r>
    <x v="1"/>
    <x v="2"/>
    <x v="3"/>
    <n v="148"/>
  </r>
  <r>
    <x v="1"/>
    <x v="17"/>
    <x v="1"/>
    <n v="105"/>
  </r>
  <r>
    <x v="1"/>
    <x v="17"/>
    <x v="4"/>
    <n v="140"/>
  </r>
  <r>
    <x v="1"/>
    <x v="18"/>
    <x v="2"/>
    <n v="25"/>
  </r>
  <r>
    <x v="1"/>
    <x v="17"/>
    <x v="5"/>
    <n v="362"/>
  </r>
  <r>
    <x v="1"/>
    <x v="17"/>
    <x v="0"/>
    <n v="433"/>
  </r>
  <r>
    <x v="1"/>
    <x v="19"/>
    <x v="1"/>
    <n v="24"/>
  </r>
  <r>
    <x v="1"/>
    <x v="17"/>
    <x v="6"/>
    <n v="91"/>
  </r>
  <r>
    <x v="0"/>
    <x v="0"/>
    <x v="4"/>
    <n v="159"/>
  </r>
  <r>
    <x v="0"/>
    <x v="9"/>
    <x v="5"/>
    <n v="176"/>
  </r>
  <r>
    <x v="0"/>
    <x v="9"/>
    <x v="0"/>
    <n v="223"/>
  </r>
  <r>
    <x v="1"/>
    <x v="20"/>
    <x v="0"/>
    <n v="110"/>
  </r>
  <r>
    <x v="1"/>
    <x v="17"/>
    <x v="3"/>
    <n v="177"/>
  </r>
  <r>
    <x v="1"/>
    <x v="17"/>
    <x v="2"/>
    <n v="85"/>
  </r>
  <r>
    <x v="0"/>
    <x v="8"/>
    <x v="4"/>
    <n v="70"/>
  </r>
  <r>
    <x v="1"/>
    <x v="12"/>
    <x v="2"/>
    <n v="31"/>
  </r>
  <r>
    <x v="1"/>
    <x v="12"/>
    <x v="6"/>
    <n v="30"/>
  </r>
  <r>
    <x v="1"/>
    <x v="16"/>
    <x v="0"/>
    <n v="248"/>
  </r>
  <r>
    <x v="0"/>
    <x v="4"/>
    <x v="6"/>
    <n v="41"/>
  </r>
  <r>
    <x v="0"/>
    <x v="14"/>
    <x v="5"/>
    <n v="121"/>
  </r>
  <r>
    <x v="0"/>
    <x v="3"/>
    <x v="4"/>
    <n v="142"/>
  </r>
  <r>
    <x v="0"/>
    <x v="3"/>
    <x v="2"/>
    <n v="144"/>
  </r>
  <r>
    <x v="1"/>
    <x v="2"/>
    <x v="1"/>
    <n v="114"/>
  </r>
  <r>
    <x v="0"/>
    <x v="13"/>
    <x v="3"/>
    <n v="268"/>
  </r>
  <r>
    <x v="1"/>
    <x v="19"/>
    <x v="5"/>
    <n v="39"/>
  </r>
  <r>
    <x v="1"/>
    <x v="12"/>
    <x v="0"/>
    <n v="54"/>
  </r>
  <r>
    <x v="1"/>
    <x v="21"/>
    <x v="2"/>
    <n v="31"/>
  </r>
  <r>
    <x v="0"/>
    <x v="14"/>
    <x v="2"/>
    <n v="80"/>
  </r>
  <r>
    <x v="0"/>
    <x v="3"/>
    <x v="6"/>
    <n v="179"/>
  </r>
  <r>
    <x v="1"/>
    <x v="21"/>
    <x v="0"/>
    <n v="176"/>
  </r>
  <r>
    <x v="1"/>
    <x v="21"/>
    <x v="5"/>
    <n v="135"/>
  </r>
  <r>
    <x v="1"/>
    <x v="16"/>
    <x v="5"/>
    <n v="195"/>
  </r>
  <r>
    <x v="1"/>
    <x v="16"/>
    <x v="3"/>
    <n v="79"/>
  </r>
  <r>
    <x v="0"/>
    <x v="6"/>
    <x v="4"/>
    <n v="60"/>
  </r>
  <r>
    <x v="0"/>
    <x v="14"/>
    <x v="4"/>
    <n v="84"/>
  </r>
  <r>
    <x v="1"/>
    <x v="2"/>
    <x v="4"/>
    <n v="128"/>
  </r>
  <r>
    <x v="0"/>
    <x v="14"/>
    <x v="6"/>
    <n v="91"/>
  </r>
  <r>
    <x v="1"/>
    <x v="20"/>
    <x v="1"/>
    <n v="25"/>
  </r>
  <r>
    <x v="1"/>
    <x v="20"/>
    <x v="6"/>
    <n v="34"/>
  </r>
  <r>
    <x v="1"/>
    <x v="20"/>
    <x v="3"/>
    <n v="45"/>
  </r>
  <r>
    <x v="0"/>
    <x v="6"/>
    <x v="3"/>
    <n v="55"/>
  </r>
  <r>
    <x v="0"/>
    <x v="6"/>
    <x v="0"/>
    <n v="69"/>
  </r>
  <r>
    <x v="0"/>
    <x v="10"/>
    <x v="2"/>
    <n v="69"/>
  </r>
  <r>
    <x v="0"/>
    <x v="4"/>
    <x v="3"/>
    <n v="42"/>
  </r>
  <r>
    <x v="0"/>
    <x v="8"/>
    <x v="5"/>
    <n v="98"/>
  </r>
  <r>
    <x v="0"/>
    <x v="4"/>
    <x v="0"/>
    <n v="66"/>
  </r>
  <r>
    <x v="1"/>
    <x v="16"/>
    <x v="2"/>
    <n v="46"/>
  </r>
  <r>
    <x v="1"/>
    <x v="16"/>
    <x v="4"/>
    <n v="65"/>
  </r>
  <r>
    <x v="1"/>
    <x v="16"/>
    <x v="1"/>
    <n v="55"/>
  </r>
  <r>
    <x v="1"/>
    <x v="20"/>
    <x v="4"/>
    <n v="41"/>
  </r>
  <r>
    <x v="1"/>
    <x v="19"/>
    <x v="2"/>
    <n v="41"/>
  </r>
  <r>
    <x v="0"/>
    <x v="9"/>
    <x v="2"/>
    <n v="131"/>
  </r>
  <r>
    <x v="1"/>
    <x v="22"/>
    <x v="4"/>
    <n v="32"/>
  </r>
  <r>
    <x v="1"/>
    <x v="23"/>
    <x v="3"/>
    <n v="33"/>
  </r>
  <r>
    <x v="1"/>
    <x v="23"/>
    <x v="2"/>
    <n v="27"/>
  </r>
  <r>
    <x v="0"/>
    <x v="14"/>
    <x v="3"/>
    <n v="112"/>
  </r>
  <r>
    <x v="1"/>
    <x v="21"/>
    <x v="3"/>
    <n v="59"/>
  </r>
  <r>
    <x v="1"/>
    <x v="21"/>
    <x v="6"/>
    <n v="30"/>
  </r>
  <r>
    <x v="1"/>
    <x v="21"/>
    <x v="4"/>
    <n v="50"/>
  </r>
  <r>
    <x v="1"/>
    <x v="21"/>
    <x v="1"/>
    <n v="38"/>
  </r>
  <r>
    <x v="1"/>
    <x v="22"/>
    <x v="5"/>
    <n v="51"/>
  </r>
  <r>
    <x v="1"/>
    <x v="22"/>
    <x v="3"/>
    <n v="32"/>
  </r>
  <r>
    <x v="1"/>
    <x v="15"/>
    <x v="6"/>
    <n v="32"/>
  </r>
  <r>
    <x v="1"/>
    <x v="18"/>
    <x v="3"/>
    <n v="43"/>
  </r>
  <r>
    <x v="1"/>
    <x v="20"/>
    <x v="5"/>
    <n v="74"/>
  </r>
  <r>
    <x v="0"/>
    <x v="6"/>
    <x v="2"/>
    <n v="58"/>
  </r>
  <r>
    <x v="1"/>
    <x v="20"/>
    <x v="2"/>
    <n v="24"/>
  </r>
  <r>
    <x v="1"/>
    <x v="19"/>
    <x v="3"/>
    <n v="36"/>
  </r>
  <r>
    <x v="1"/>
    <x v="15"/>
    <x v="4"/>
    <n v="39"/>
  </r>
  <r>
    <x v="1"/>
    <x v="22"/>
    <x v="0"/>
    <n v="70"/>
  </r>
  <r>
    <x v="1"/>
    <x v="22"/>
    <x v="2"/>
    <n v="23"/>
  </r>
  <r>
    <x v="1"/>
    <x v="12"/>
    <x v="3"/>
    <n v="47"/>
  </r>
  <r>
    <x v="1"/>
    <x v="22"/>
    <x v="1"/>
    <n v="37"/>
  </r>
  <r>
    <x v="1"/>
    <x v="22"/>
    <x v="6"/>
    <n v="23"/>
  </r>
  <r>
    <x v="1"/>
    <x v="23"/>
    <x v="1"/>
    <n v="20"/>
  </r>
  <r>
    <x v="1"/>
    <x v="23"/>
    <x v="0"/>
    <n v="36"/>
  </r>
  <r>
    <x v="1"/>
    <x v="23"/>
    <x v="5"/>
    <n v="31"/>
  </r>
  <r>
    <x v="1"/>
    <x v="23"/>
    <x v="4"/>
    <n v="28"/>
  </r>
  <r>
    <x v="1"/>
    <x v="18"/>
    <x v="4"/>
    <n v="28"/>
  </r>
  <r>
    <x v="1"/>
    <x v="18"/>
    <x v="5"/>
    <n v="49"/>
  </r>
  <r>
    <x v="0"/>
    <x v="6"/>
    <x v="5"/>
    <n v="82"/>
  </r>
  <r>
    <x v="1"/>
    <x v="19"/>
    <x v="6"/>
    <n v="25"/>
  </r>
  <r>
    <x v="1"/>
    <x v="19"/>
    <x v="4"/>
    <n v="33"/>
  </r>
  <r>
    <x v="1"/>
    <x v="19"/>
    <x v="0"/>
    <n v="41"/>
  </r>
  <r>
    <x v="1"/>
    <x v="15"/>
    <x v="3"/>
    <n v="28"/>
  </r>
  <r>
    <x v="1"/>
    <x v="15"/>
    <x v="1"/>
    <n v="22"/>
  </r>
  <r>
    <x v="1"/>
    <x v="18"/>
    <x v="1"/>
    <n v="28"/>
  </r>
  <r>
    <x v="1"/>
    <x v="18"/>
    <x v="0"/>
    <n v="42"/>
  </r>
  <r>
    <x v="1"/>
    <x v="18"/>
    <x v="6"/>
    <n v="22"/>
  </r>
  <r>
    <x v="1"/>
    <x v="12"/>
    <x v="1"/>
    <n v="32"/>
  </r>
  <r>
    <x v="0"/>
    <x v="4"/>
    <x v="4"/>
    <n v="59"/>
  </r>
  <r>
    <x v="0"/>
    <x v="4"/>
    <x v="2"/>
    <n v="40"/>
  </r>
  <r>
    <x v="2"/>
    <x v="24"/>
    <x v="3"/>
    <n v="8"/>
  </r>
  <r>
    <x v="1"/>
    <x v="15"/>
    <x v="5"/>
    <n v="33"/>
  </r>
  <r>
    <x v="1"/>
    <x v="23"/>
    <x v="6"/>
    <n v="26"/>
  </r>
  <r>
    <x v="2"/>
    <x v="24"/>
    <x v="0"/>
    <n v="17"/>
  </r>
  <r>
    <x v="2"/>
    <x v="24"/>
    <x v="4"/>
    <n v="4"/>
  </r>
  <r>
    <x v="2"/>
    <x v="24"/>
    <x v="1"/>
    <n v="8"/>
  </r>
  <r>
    <x v="2"/>
    <x v="24"/>
    <x v="6"/>
    <n v="4"/>
  </r>
  <r>
    <x v="2"/>
    <x v="24"/>
    <x v="5"/>
    <n v="11"/>
  </r>
  <r>
    <x v="2"/>
    <x v="24"/>
    <x v="2"/>
    <n v="1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</r>
  <r>
    <x v="1"/>
    <x v="1"/>
  </r>
  <r>
    <x v="2"/>
    <x v="2"/>
  </r>
  <r>
    <x v="3"/>
    <x v="3"/>
  </r>
  <r>
    <x v="4"/>
    <x v="1"/>
  </r>
  <r>
    <x v="5"/>
    <x v="4"/>
  </r>
  <r>
    <x v="6"/>
    <x v="5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6">
  <r>
    <x v="0"/>
    <x v="0"/>
    <x v="0"/>
    <n v="3"/>
  </r>
  <r>
    <x v="0"/>
    <x v="0"/>
    <x v="1"/>
    <n v="13"/>
  </r>
  <r>
    <x v="0"/>
    <x v="0"/>
    <x v="2"/>
    <n v="1"/>
  </r>
  <r>
    <x v="0"/>
    <x v="0"/>
    <x v="3"/>
    <n v="1"/>
  </r>
  <r>
    <x v="0"/>
    <x v="0"/>
    <x v="4"/>
    <n v="1"/>
  </r>
  <r>
    <x v="0"/>
    <x v="1"/>
    <x v="5"/>
    <n v="32"/>
  </r>
  <r>
    <x v="0"/>
    <x v="1"/>
    <x v="6"/>
    <n v="26"/>
  </r>
  <r>
    <x v="0"/>
    <x v="1"/>
    <x v="7"/>
    <n v="6"/>
  </r>
  <r>
    <x v="0"/>
    <x v="1"/>
    <x v="8"/>
    <n v="12"/>
  </r>
  <r>
    <x v="0"/>
    <x v="2"/>
    <x v="9"/>
    <n v="8"/>
  </r>
  <r>
    <x v="1"/>
    <x v="0"/>
    <x v="0"/>
    <n v="31"/>
  </r>
  <r>
    <x v="1"/>
    <x v="0"/>
    <x v="10"/>
    <n v="247"/>
  </r>
  <r>
    <x v="1"/>
    <x v="0"/>
    <x v="1"/>
    <n v="235"/>
  </r>
  <r>
    <x v="1"/>
    <x v="0"/>
    <x v="11"/>
    <n v="102"/>
  </r>
  <r>
    <x v="1"/>
    <x v="0"/>
    <x v="2"/>
    <n v="85"/>
  </r>
  <r>
    <x v="1"/>
    <x v="0"/>
    <x v="12"/>
    <n v="46"/>
  </r>
  <r>
    <x v="1"/>
    <x v="0"/>
    <x v="4"/>
    <n v="51"/>
  </r>
  <r>
    <x v="1"/>
    <x v="2"/>
    <x v="2"/>
    <n v="3"/>
  </r>
  <r>
    <x v="1"/>
    <x v="2"/>
    <x v="3"/>
    <n v="1"/>
  </r>
  <r>
    <x v="1"/>
    <x v="2"/>
    <x v="4"/>
    <n v="1"/>
  </r>
  <r>
    <x v="1"/>
    <x v="2"/>
    <x v="9"/>
    <n v="700"/>
  </r>
  <r>
    <x v="0"/>
    <x v="1"/>
    <x v="3"/>
    <n v="7"/>
  </r>
  <r>
    <x v="0"/>
    <x v="1"/>
    <x v="4"/>
    <n v="8"/>
  </r>
  <r>
    <x v="1"/>
    <x v="0"/>
    <x v="3"/>
    <n v="45"/>
  </r>
  <r>
    <x v="1"/>
    <x v="1"/>
    <x v="0"/>
    <n v="57"/>
  </r>
  <r>
    <x v="1"/>
    <x v="1"/>
    <x v="2"/>
    <n v="226"/>
  </r>
  <r>
    <x v="1"/>
    <x v="1"/>
    <x v="3"/>
    <n v="159"/>
  </r>
  <r>
    <x v="1"/>
    <x v="1"/>
    <x v="4"/>
    <n v="99"/>
  </r>
  <r>
    <x v="1"/>
    <x v="1"/>
    <x v="13"/>
    <n v="6"/>
  </r>
  <r>
    <x v="0"/>
    <x v="0"/>
    <x v="14"/>
    <n v="11"/>
  </r>
  <r>
    <x v="0"/>
    <x v="0"/>
    <x v="15"/>
    <n v="4"/>
  </r>
  <r>
    <x v="0"/>
    <x v="0"/>
    <x v="16"/>
    <n v="2"/>
  </r>
  <r>
    <x v="0"/>
    <x v="1"/>
    <x v="17"/>
    <n v="21"/>
  </r>
  <r>
    <x v="0"/>
    <x v="1"/>
    <x v="18"/>
    <n v="17"/>
  </r>
  <r>
    <x v="0"/>
    <x v="1"/>
    <x v="19"/>
    <n v="7"/>
  </r>
  <r>
    <x v="0"/>
    <x v="1"/>
    <x v="20"/>
    <n v="11"/>
  </r>
  <r>
    <x v="0"/>
    <x v="1"/>
    <x v="21"/>
    <n v="29"/>
  </r>
  <r>
    <x v="0"/>
    <x v="1"/>
    <x v="22"/>
    <n v="4"/>
  </r>
  <r>
    <x v="1"/>
    <x v="0"/>
    <x v="23"/>
    <n v="119"/>
  </r>
  <r>
    <x v="1"/>
    <x v="0"/>
    <x v="24"/>
    <n v="224"/>
  </r>
  <r>
    <x v="1"/>
    <x v="0"/>
    <x v="5"/>
    <n v="244"/>
  </r>
  <r>
    <x v="1"/>
    <x v="0"/>
    <x v="6"/>
    <n v="141"/>
  </r>
  <r>
    <x v="1"/>
    <x v="0"/>
    <x v="25"/>
    <n v="118"/>
  </r>
  <r>
    <x v="1"/>
    <x v="0"/>
    <x v="26"/>
    <n v="82"/>
  </r>
  <r>
    <x v="1"/>
    <x v="0"/>
    <x v="7"/>
    <n v="68"/>
  </r>
  <r>
    <x v="1"/>
    <x v="0"/>
    <x v="27"/>
    <n v="48"/>
  </r>
  <r>
    <x v="1"/>
    <x v="0"/>
    <x v="8"/>
    <n v="40"/>
  </r>
  <r>
    <x v="1"/>
    <x v="1"/>
    <x v="28"/>
    <n v="5"/>
  </r>
  <r>
    <x v="1"/>
    <x v="1"/>
    <x v="10"/>
    <n v="563"/>
  </r>
  <r>
    <x v="1"/>
    <x v="1"/>
    <x v="1"/>
    <n v="547"/>
  </r>
  <r>
    <x v="1"/>
    <x v="1"/>
    <x v="11"/>
    <n v="288"/>
  </r>
  <r>
    <x v="1"/>
    <x v="1"/>
    <x v="29"/>
    <n v="163"/>
  </r>
  <r>
    <x v="1"/>
    <x v="1"/>
    <x v="12"/>
    <n v="128"/>
  </r>
  <r>
    <x v="1"/>
    <x v="1"/>
    <x v="30"/>
    <n v="138"/>
  </r>
  <r>
    <x v="1"/>
    <x v="1"/>
    <x v="9"/>
    <n v="180"/>
  </r>
  <r>
    <x v="1"/>
    <x v="2"/>
    <x v="23"/>
    <n v="1"/>
  </r>
  <r>
    <x v="1"/>
    <x v="2"/>
    <x v="24"/>
    <n v="4"/>
  </r>
  <r>
    <x v="1"/>
    <x v="2"/>
    <x v="5"/>
    <n v="4"/>
  </r>
  <r>
    <x v="1"/>
    <x v="2"/>
    <x v="31"/>
    <n v="1"/>
  </r>
  <r>
    <x v="1"/>
    <x v="2"/>
    <x v="6"/>
    <n v="1"/>
  </r>
  <r>
    <x v="1"/>
    <x v="2"/>
    <x v="25"/>
    <n v="3"/>
  </r>
  <r>
    <x v="1"/>
    <x v="2"/>
    <x v="27"/>
    <n v="1"/>
  </r>
  <r>
    <x v="0"/>
    <x v="0"/>
    <x v="32"/>
    <n v="3"/>
  </r>
  <r>
    <x v="0"/>
    <x v="0"/>
    <x v="33"/>
    <n v="3"/>
  </r>
  <r>
    <x v="0"/>
    <x v="0"/>
    <x v="21"/>
    <n v="4"/>
  </r>
  <r>
    <x v="0"/>
    <x v="1"/>
    <x v="14"/>
    <n v="32"/>
  </r>
  <r>
    <x v="0"/>
    <x v="1"/>
    <x v="34"/>
    <n v="38"/>
  </r>
  <r>
    <x v="0"/>
    <x v="1"/>
    <x v="35"/>
    <n v="29"/>
  </r>
  <r>
    <x v="0"/>
    <x v="1"/>
    <x v="15"/>
    <n v="27"/>
  </r>
  <r>
    <x v="0"/>
    <x v="1"/>
    <x v="36"/>
    <n v="13"/>
  </r>
  <r>
    <x v="0"/>
    <x v="1"/>
    <x v="16"/>
    <n v="12"/>
  </r>
  <r>
    <x v="0"/>
    <x v="1"/>
    <x v="37"/>
    <n v="9"/>
  </r>
  <r>
    <x v="1"/>
    <x v="0"/>
    <x v="38"/>
    <n v="7"/>
  </r>
  <r>
    <x v="1"/>
    <x v="0"/>
    <x v="21"/>
    <n v="146"/>
  </r>
  <r>
    <x v="1"/>
    <x v="0"/>
    <x v="39"/>
    <n v="9"/>
  </r>
  <r>
    <x v="1"/>
    <x v="0"/>
    <x v="40"/>
    <n v="3"/>
  </r>
  <r>
    <x v="1"/>
    <x v="1"/>
    <x v="41"/>
    <n v="182"/>
  </r>
  <r>
    <x v="1"/>
    <x v="1"/>
    <x v="34"/>
    <n v="529"/>
  </r>
  <r>
    <x v="1"/>
    <x v="1"/>
    <x v="42"/>
    <n v="539"/>
  </r>
  <r>
    <x v="1"/>
    <x v="1"/>
    <x v="43"/>
    <n v="466"/>
  </r>
  <r>
    <x v="1"/>
    <x v="1"/>
    <x v="35"/>
    <n v="437"/>
  </r>
  <r>
    <x v="1"/>
    <x v="1"/>
    <x v="15"/>
    <n v="287"/>
  </r>
  <r>
    <x v="1"/>
    <x v="1"/>
    <x v="44"/>
    <n v="263"/>
  </r>
  <r>
    <x v="1"/>
    <x v="1"/>
    <x v="36"/>
    <n v="126"/>
  </r>
  <r>
    <x v="1"/>
    <x v="1"/>
    <x v="45"/>
    <n v="158"/>
  </r>
  <r>
    <x v="1"/>
    <x v="1"/>
    <x v="37"/>
    <n v="129"/>
  </r>
  <r>
    <x v="0"/>
    <x v="0"/>
    <x v="17"/>
    <n v="6"/>
  </r>
  <r>
    <x v="0"/>
    <x v="0"/>
    <x v="46"/>
    <n v="3"/>
  </r>
  <r>
    <x v="0"/>
    <x v="0"/>
    <x v="19"/>
    <n v="1"/>
  </r>
  <r>
    <x v="0"/>
    <x v="0"/>
    <x v="20"/>
    <n v="1"/>
  </r>
  <r>
    <x v="0"/>
    <x v="0"/>
    <x v="37"/>
    <n v="3"/>
  </r>
  <r>
    <x v="0"/>
    <x v="0"/>
    <x v="39"/>
    <n v="1"/>
  </r>
  <r>
    <x v="1"/>
    <x v="0"/>
    <x v="28"/>
    <n v="2"/>
  </r>
  <r>
    <x v="1"/>
    <x v="0"/>
    <x v="29"/>
    <n v="70"/>
  </r>
  <r>
    <x v="1"/>
    <x v="0"/>
    <x v="30"/>
    <n v="38"/>
  </r>
  <r>
    <x v="1"/>
    <x v="1"/>
    <x v="38"/>
    <n v="17"/>
  </r>
  <r>
    <x v="1"/>
    <x v="1"/>
    <x v="47"/>
    <n v="28"/>
  </r>
  <r>
    <x v="1"/>
    <x v="1"/>
    <x v="23"/>
    <n v="294"/>
  </r>
  <r>
    <x v="1"/>
    <x v="1"/>
    <x v="24"/>
    <n v="558"/>
  </r>
  <r>
    <x v="1"/>
    <x v="1"/>
    <x v="5"/>
    <n v="550"/>
  </r>
  <r>
    <x v="1"/>
    <x v="1"/>
    <x v="48"/>
    <n v="608"/>
  </r>
  <r>
    <x v="1"/>
    <x v="1"/>
    <x v="31"/>
    <n v="415"/>
  </r>
  <r>
    <x v="1"/>
    <x v="1"/>
    <x v="6"/>
    <n v="333"/>
  </r>
  <r>
    <x v="1"/>
    <x v="1"/>
    <x v="25"/>
    <n v="325"/>
  </r>
  <r>
    <x v="1"/>
    <x v="1"/>
    <x v="26"/>
    <n v="257"/>
  </r>
  <r>
    <x v="1"/>
    <x v="1"/>
    <x v="7"/>
    <n v="171"/>
  </r>
  <r>
    <x v="1"/>
    <x v="1"/>
    <x v="27"/>
    <n v="172"/>
  </r>
  <r>
    <x v="1"/>
    <x v="1"/>
    <x v="8"/>
    <n v="130"/>
  </r>
  <r>
    <x v="1"/>
    <x v="2"/>
    <x v="10"/>
    <n v="4"/>
  </r>
  <r>
    <x v="1"/>
    <x v="2"/>
    <x v="11"/>
    <n v="1"/>
  </r>
  <r>
    <x v="1"/>
    <x v="2"/>
    <x v="29"/>
    <n v="1"/>
  </r>
  <r>
    <x v="1"/>
    <x v="2"/>
    <x v="12"/>
    <n v="1"/>
  </r>
  <r>
    <x v="0"/>
    <x v="0"/>
    <x v="41"/>
    <n v="5"/>
  </r>
  <r>
    <x v="0"/>
    <x v="0"/>
    <x v="49"/>
    <n v="8"/>
  </r>
  <r>
    <x v="0"/>
    <x v="0"/>
    <x v="34"/>
    <n v="10"/>
  </r>
  <r>
    <x v="0"/>
    <x v="0"/>
    <x v="42"/>
    <n v="10"/>
  </r>
  <r>
    <x v="0"/>
    <x v="0"/>
    <x v="43"/>
    <n v="6"/>
  </r>
  <r>
    <x v="0"/>
    <x v="0"/>
    <x v="50"/>
    <n v="6"/>
  </r>
  <r>
    <x v="0"/>
    <x v="0"/>
    <x v="44"/>
    <n v="6"/>
  </r>
  <r>
    <x v="0"/>
    <x v="0"/>
    <x v="51"/>
    <n v="2"/>
  </r>
  <r>
    <x v="0"/>
    <x v="0"/>
    <x v="36"/>
    <n v="2"/>
  </r>
  <r>
    <x v="0"/>
    <x v="0"/>
    <x v="45"/>
    <n v="1"/>
  </r>
  <r>
    <x v="0"/>
    <x v="0"/>
    <x v="52"/>
    <n v="3"/>
  </r>
  <r>
    <x v="0"/>
    <x v="0"/>
    <x v="53"/>
    <n v="2"/>
  </r>
  <r>
    <x v="0"/>
    <x v="1"/>
    <x v="41"/>
    <n v="10"/>
  </r>
  <r>
    <x v="0"/>
    <x v="1"/>
    <x v="49"/>
    <n v="32"/>
  </r>
  <r>
    <x v="0"/>
    <x v="1"/>
    <x v="42"/>
    <n v="29"/>
  </r>
  <r>
    <x v="0"/>
    <x v="1"/>
    <x v="43"/>
    <n v="32"/>
  </r>
  <r>
    <x v="0"/>
    <x v="1"/>
    <x v="50"/>
    <n v="28"/>
  </r>
  <r>
    <x v="0"/>
    <x v="1"/>
    <x v="44"/>
    <n v="14"/>
  </r>
  <r>
    <x v="0"/>
    <x v="1"/>
    <x v="32"/>
    <n v="13"/>
  </r>
  <r>
    <x v="0"/>
    <x v="1"/>
    <x v="51"/>
    <n v="10"/>
  </r>
  <r>
    <x v="0"/>
    <x v="1"/>
    <x v="45"/>
    <n v="16"/>
  </r>
  <r>
    <x v="0"/>
    <x v="1"/>
    <x v="52"/>
    <n v="7"/>
  </r>
  <r>
    <x v="0"/>
    <x v="1"/>
    <x v="33"/>
    <n v="2"/>
  </r>
  <r>
    <x v="0"/>
    <x v="1"/>
    <x v="53"/>
    <n v="22"/>
  </r>
  <r>
    <x v="0"/>
    <x v="1"/>
    <x v="9"/>
    <n v="1"/>
  </r>
  <r>
    <x v="1"/>
    <x v="0"/>
    <x v="41"/>
    <n v="48"/>
  </r>
  <r>
    <x v="1"/>
    <x v="0"/>
    <x v="49"/>
    <n v="250"/>
  </r>
  <r>
    <x v="1"/>
    <x v="0"/>
    <x v="34"/>
    <n v="230"/>
  </r>
  <r>
    <x v="1"/>
    <x v="0"/>
    <x v="42"/>
    <n v="225"/>
  </r>
  <r>
    <x v="1"/>
    <x v="0"/>
    <x v="43"/>
    <n v="198"/>
  </r>
  <r>
    <x v="1"/>
    <x v="0"/>
    <x v="35"/>
    <n v="159"/>
  </r>
  <r>
    <x v="1"/>
    <x v="0"/>
    <x v="50"/>
    <n v="140"/>
  </r>
  <r>
    <x v="1"/>
    <x v="0"/>
    <x v="44"/>
    <n v="77"/>
  </r>
  <r>
    <x v="1"/>
    <x v="0"/>
    <x v="32"/>
    <n v="61"/>
  </r>
  <r>
    <x v="1"/>
    <x v="0"/>
    <x v="51"/>
    <n v="59"/>
  </r>
  <r>
    <x v="1"/>
    <x v="0"/>
    <x v="45"/>
    <n v="48"/>
  </r>
  <r>
    <x v="1"/>
    <x v="0"/>
    <x v="52"/>
    <n v="32"/>
  </r>
  <r>
    <x v="1"/>
    <x v="0"/>
    <x v="33"/>
    <n v="34"/>
  </r>
  <r>
    <x v="1"/>
    <x v="0"/>
    <x v="53"/>
    <n v="94"/>
  </r>
  <r>
    <x v="1"/>
    <x v="0"/>
    <x v="9"/>
    <n v="63"/>
  </r>
  <r>
    <x v="1"/>
    <x v="1"/>
    <x v="49"/>
    <n v="629"/>
  </r>
  <r>
    <x v="1"/>
    <x v="1"/>
    <x v="50"/>
    <n v="388"/>
  </r>
  <r>
    <x v="1"/>
    <x v="1"/>
    <x v="32"/>
    <n v="210"/>
  </r>
  <r>
    <x v="1"/>
    <x v="1"/>
    <x v="51"/>
    <n v="143"/>
  </r>
  <r>
    <x v="1"/>
    <x v="1"/>
    <x v="52"/>
    <n v="130"/>
  </r>
  <r>
    <x v="1"/>
    <x v="1"/>
    <x v="33"/>
    <n v="121"/>
  </r>
  <r>
    <x v="1"/>
    <x v="1"/>
    <x v="53"/>
    <n v="267"/>
  </r>
  <r>
    <x v="1"/>
    <x v="2"/>
    <x v="41"/>
    <n v="3"/>
  </r>
  <r>
    <x v="1"/>
    <x v="2"/>
    <x v="49"/>
    <n v="2"/>
  </r>
  <r>
    <x v="1"/>
    <x v="2"/>
    <x v="34"/>
    <n v="4"/>
  </r>
  <r>
    <x v="1"/>
    <x v="2"/>
    <x v="42"/>
    <n v="4"/>
  </r>
  <r>
    <x v="1"/>
    <x v="2"/>
    <x v="43"/>
    <n v="1"/>
  </r>
  <r>
    <x v="1"/>
    <x v="2"/>
    <x v="35"/>
    <n v="1"/>
  </r>
  <r>
    <x v="1"/>
    <x v="2"/>
    <x v="51"/>
    <n v="1"/>
  </r>
  <r>
    <x v="1"/>
    <x v="2"/>
    <x v="45"/>
    <n v="3"/>
  </r>
  <r>
    <x v="1"/>
    <x v="2"/>
    <x v="53"/>
    <n v="1"/>
  </r>
  <r>
    <x v="0"/>
    <x v="0"/>
    <x v="10"/>
    <n v="13"/>
  </r>
  <r>
    <x v="0"/>
    <x v="0"/>
    <x v="11"/>
    <n v="3"/>
  </r>
  <r>
    <x v="0"/>
    <x v="0"/>
    <x v="29"/>
    <n v="1"/>
  </r>
  <r>
    <x v="0"/>
    <x v="0"/>
    <x v="12"/>
    <n v="2"/>
  </r>
  <r>
    <x v="0"/>
    <x v="0"/>
    <x v="30"/>
    <n v="3"/>
  </r>
  <r>
    <x v="0"/>
    <x v="1"/>
    <x v="38"/>
    <n v="1"/>
  </r>
  <r>
    <x v="0"/>
    <x v="1"/>
    <x v="47"/>
    <n v="3"/>
  </r>
  <r>
    <x v="0"/>
    <x v="1"/>
    <x v="23"/>
    <n v="17"/>
  </r>
  <r>
    <x v="0"/>
    <x v="1"/>
    <x v="24"/>
    <n v="28"/>
  </r>
  <r>
    <x v="0"/>
    <x v="1"/>
    <x v="48"/>
    <n v="25"/>
  </r>
  <r>
    <x v="0"/>
    <x v="1"/>
    <x v="31"/>
    <n v="25"/>
  </r>
  <r>
    <x v="0"/>
    <x v="1"/>
    <x v="25"/>
    <n v="27"/>
  </r>
  <r>
    <x v="0"/>
    <x v="1"/>
    <x v="46"/>
    <n v="18"/>
  </r>
  <r>
    <x v="0"/>
    <x v="1"/>
    <x v="26"/>
    <n v="21"/>
  </r>
  <r>
    <x v="0"/>
    <x v="1"/>
    <x v="27"/>
    <n v="10"/>
  </r>
  <r>
    <x v="1"/>
    <x v="0"/>
    <x v="47"/>
    <n v="12"/>
  </r>
  <r>
    <x v="1"/>
    <x v="0"/>
    <x v="17"/>
    <n v="145"/>
  </r>
  <r>
    <x v="1"/>
    <x v="0"/>
    <x v="48"/>
    <n v="219"/>
  </r>
  <r>
    <x v="1"/>
    <x v="0"/>
    <x v="31"/>
    <n v="152"/>
  </r>
  <r>
    <x v="1"/>
    <x v="0"/>
    <x v="46"/>
    <n v="104"/>
  </r>
  <r>
    <x v="1"/>
    <x v="0"/>
    <x v="18"/>
    <n v="86"/>
  </r>
  <r>
    <x v="1"/>
    <x v="0"/>
    <x v="19"/>
    <n v="55"/>
  </r>
  <r>
    <x v="1"/>
    <x v="0"/>
    <x v="20"/>
    <n v="46"/>
  </r>
  <r>
    <x v="1"/>
    <x v="0"/>
    <x v="37"/>
    <n v="53"/>
  </r>
  <r>
    <x v="1"/>
    <x v="0"/>
    <x v="22"/>
    <n v="25"/>
  </r>
  <r>
    <x v="1"/>
    <x v="0"/>
    <x v="13"/>
    <n v="5"/>
  </r>
  <r>
    <x v="1"/>
    <x v="1"/>
    <x v="14"/>
    <n v="510"/>
  </r>
  <r>
    <x v="1"/>
    <x v="1"/>
    <x v="16"/>
    <n v="111"/>
  </r>
  <r>
    <x v="1"/>
    <x v="3"/>
    <x v="9"/>
    <n v="5"/>
  </r>
  <r>
    <x v="1"/>
    <x v="2"/>
    <x v="17"/>
    <n v="1"/>
  </r>
  <r>
    <x v="1"/>
    <x v="2"/>
    <x v="21"/>
    <n v="1"/>
  </r>
  <r>
    <x v="0"/>
    <x v="0"/>
    <x v="23"/>
    <n v="6"/>
  </r>
  <r>
    <x v="0"/>
    <x v="0"/>
    <x v="24"/>
    <n v="6"/>
  </r>
  <r>
    <x v="0"/>
    <x v="0"/>
    <x v="5"/>
    <n v="13"/>
  </r>
  <r>
    <x v="0"/>
    <x v="0"/>
    <x v="48"/>
    <n v="14"/>
  </r>
  <r>
    <x v="0"/>
    <x v="0"/>
    <x v="31"/>
    <n v="2"/>
  </r>
  <r>
    <x v="0"/>
    <x v="0"/>
    <x v="6"/>
    <n v="4"/>
  </r>
  <r>
    <x v="0"/>
    <x v="0"/>
    <x v="25"/>
    <n v="4"/>
  </r>
  <r>
    <x v="0"/>
    <x v="0"/>
    <x v="26"/>
    <n v="4"/>
  </r>
  <r>
    <x v="0"/>
    <x v="0"/>
    <x v="7"/>
    <n v="5"/>
  </r>
  <r>
    <x v="0"/>
    <x v="0"/>
    <x v="27"/>
    <n v="2"/>
  </r>
  <r>
    <x v="0"/>
    <x v="1"/>
    <x v="0"/>
    <n v="8"/>
  </r>
  <r>
    <x v="0"/>
    <x v="1"/>
    <x v="10"/>
    <n v="32"/>
  </r>
  <r>
    <x v="0"/>
    <x v="1"/>
    <x v="1"/>
    <n v="34"/>
  </r>
  <r>
    <x v="0"/>
    <x v="1"/>
    <x v="11"/>
    <n v="16"/>
  </r>
  <r>
    <x v="0"/>
    <x v="1"/>
    <x v="2"/>
    <n v="13"/>
  </r>
  <r>
    <x v="0"/>
    <x v="1"/>
    <x v="29"/>
    <n v="11"/>
  </r>
  <r>
    <x v="0"/>
    <x v="1"/>
    <x v="12"/>
    <n v="11"/>
  </r>
  <r>
    <x v="0"/>
    <x v="1"/>
    <x v="30"/>
    <n v="12"/>
  </r>
  <r>
    <x v="0"/>
    <x v="1"/>
    <x v="13"/>
    <n v="2"/>
  </r>
  <r>
    <x v="0"/>
    <x v="2"/>
    <x v="24"/>
    <n v="1"/>
  </r>
  <r>
    <x v="1"/>
    <x v="0"/>
    <x v="14"/>
    <n v="198"/>
  </r>
  <r>
    <x v="1"/>
    <x v="0"/>
    <x v="15"/>
    <n v="115"/>
  </r>
  <r>
    <x v="1"/>
    <x v="0"/>
    <x v="36"/>
    <n v="59"/>
  </r>
  <r>
    <x v="1"/>
    <x v="0"/>
    <x v="16"/>
    <n v="43"/>
  </r>
  <r>
    <x v="1"/>
    <x v="1"/>
    <x v="17"/>
    <n v="380"/>
  </r>
  <r>
    <x v="1"/>
    <x v="1"/>
    <x v="46"/>
    <n v="260"/>
  </r>
  <r>
    <x v="1"/>
    <x v="1"/>
    <x v="18"/>
    <n v="275"/>
  </r>
  <r>
    <x v="1"/>
    <x v="1"/>
    <x v="19"/>
    <n v="153"/>
  </r>
  <r>
    <x v="1"/>
    <x v="1"/>
    <x v="20"/>
    <n v="117"/>
  </r>
  <r>
    <x v="1"/>
    <x v="1"/>
    <x v="21"/>
    <n v="427"/>
  </r>
  <r>
    <x v="1"/>
    <x v="1"/>
    <x v="22"/>
    <n v="64"/>
  </r>
  <r>
    <x v="1"/>
    <x v="1"/>
    <x v="39"/>
    <n v="17"/>
  </r>
  <r>
    <x v="1"/>
    <x v="1"/>
    <x v="40"/>
    <n v="5"/>
  </r>
  <r>
    <x v="1"/>
    <x v="2"/>
    <x v="14"/>
    <n v="2"/>
  </r>
  <r>
    <x v="1"/>
    <x v="2"/>
    <x v="36"/>
    <n v="1"/>
  </r>
  <r>
    <x v="1"/>
    <x v="2"/>
    <x v="16"/>
    <n v="1"/>
  </r>
  <r>
    <x v="1"/>
    <x v="2"/>
    <x v="37"/>
    <n v="2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">
  <r>
    <x v="0"/>
    <x v="0"/>
    <x v="0"/>
    <x v="0"/>
    <n v="24"/>
  </r>
  <r>
    <x v="0"/>
    <x v="0"/>
    <x v="0"/>
    <x v="1"/>
    <n v="1"/>
  </r>
  <r>
    <x v="1"/>
    <x v="1"/>
    <x v="1"/>
    <x v="2"/>
    <n v="879"/>
  </r>
  <r>
    <x v="1"/>
    <x v="0"/>
    <x v="2"/>
    <x v="1"/>
    <n v="5"/>
  </r>
  <r>
    <x v="0"/>
    <x v="1"/>
    <x v="1"/>
    <x v="1"/>
    <n v="7"/>
  </r>
  <r>
    <x v="1"/>
    <x v="1"/>
    <x v="0"/>
    <x v="2"/>
    <n v="10913"/>
  </r>
  <r>
    <x v="1"/>
    <x v="1"/>
    <x v="1"/>
    <x v="1"/>
    <n v="676"/>
  </r>
  <r>
    <x v="1"/>
    <x v="1"/>
    <x v="2"/>
    <x v="2"/>
    <n v="1948"/>
  </r>
  <r>
    <x v="0"/>
    <x v="1"/>
    <x v="1"/>
    <x v="0"/>
    <n v="27"/>
  </r>
  <r>
    <x v="0"/>
    <x v="0"/>
    <x v="2"/>
    <x v="0"/>
    <n v="2"/>
  </r>
  <r>
    <x v="1"/>
    <x v="1"/>
    <x v="0"/>
    <x v="3"/>
    <n v="1"/>
  </r>
  <r>
    <x v="1"/>
    <x v="1"/>
    <x v="1"/>
    <x v="0"/>
    <n v="301"/>
  </r>
  <r>
    <x v="0"/>
    <x v="1"/>
    <x v="1"/>
    <x v="2"/>
    <n v="102"/>
  </r>
  <r>
    <x v="1"/>
    <x v="0"/>
    <x v="0"/>
    <x v="1"/>
    <n v="4"/>
  </r>
  <r>
    <x v="1"/>
    <x v="0"/>
    <x v="2"/>
    <x v="0"/>
    <n v="71"/>
  </r>
  <r>
    <x v="0"/>
    <x v="0"/>
    <x v="2"/>
    <x v="2"/>
    <n v="15"/>
  </r>
  <r>
    <x v="1"/>
    <x v="0"/>
    <x v="2"/>
    <x v="2"/>
    <n v="213"/>
  </r>
  <r>
    <x v="0"/>
    <x v="0"/>
    <x v="1"/>
    <x v="0"/>
    <n v="8"/>
  </r>
  <r>
    <x v="0"/>
    <x v="0"/>
    <x v="1"/>
    <x v="2"/>
    <n v="41"/>
  </r>
  <r>
    <x v="1"/>
    <x v="0"/>
    <x v="1"/>
    <x v="0"/>
    <n v="92"/>
  </r>
  <r>
    <x v="1"/>
    <x v="0"/>
    <x v="1"/>
    <x v="2"/>
    <n v="322"/>
  </r>
  <r>
    <x v="1"/>
    <x v="0"/>
    <x v="1"/>
    <x v="1"/>
    <n v="8"/>
  </r>
  <r>
    <x v="0"/>
    <x v="1"/>
    <x v="2"/>
    <x v="0"/>
    <n v="20"/>
  </r>
  <r>
    <x v="0"/>
    <x v="1"/>
    <x v="2"/>
    <x v="2"/>
    <n v="77"/>
  </r>
  <r>
    <x v="1"/>
    <x v="1"/>
    <x v="0"/>
    <x v="0"/>
    <n v="3889"/>
  </r>
  <r>
    <x v="1"/>
    <x v="1"/>
    <x v="0"/>
    <x v="1"/>
    <n v="60"/>
  </r>
  <r>
    <x v="1"/>
    <x v="1"/>
    <x v="1"/>
    <x v="3"/>
    <n v="4"/>
  </r>
  <r>
    <x v="1"/>
    <x v="0"/>
    <x v="0"/>
    <x v="2"/>
    <n v="316"/>
  </r>
  <r>
    <x v="0"/>
    <x v="1"/>
    <x v="0"/>
    <x v="0"/>
    <n v="157"/>
  </r>
  <r>
    <x v="0"/>
    <x v="1"/>
    <x v="0"/>
    <x v="2"/>
    <n v="691"/>
  </r>
  <r>
    <x v="0"/>
    <x v="1"/>
    <x v="0"/>
    <x v="1"/>
    <n v="2"/>
  </r>
  <r>
    <x v="0"/>
    <x v="0"/>
    <x v="0"/>
    <x v="2"/>
    <n v="119"/>
  </r>
  <r>
    <x v="1"/>
    <x v="1"/>
    <x v="2"/>
    <x v="0"/>
    <n v="1046"/>
  </r>
  <r>
    <x v="1"/>
    <x v="1"/>
    <x v="2"/>
    <x v="1"/>
    <n v="19"/>
  </r>
  <r>
    <x v="1"/>
    <x v="0"/>
    <x v="0"/>
    <x v="0"/>
    <n v="83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">
  <r>
    <x v="0"/>
    <x v="0"/>
    <x v="0"/>
    <x v="0"/>
  </r>
  <r>
    <x v="0"/>
    <x v="0"/>
    <x v="1"/>
    <x v="1"/>
  </r>
  <r>
    <x v="0"/>
    <x v="1"/>
    <x v="0"/>
    <x v="2"/>
  </r>
  <r>
    <x v="0"/>
    <x v="1"/>
    <x v="1"/>
    <x v="3"/>
  </r>
  <r>
    <x v="0"/>
    <x v="2"/>
    <x v="0"/>
    <x v="4"/>
  </r>
  <r>
    <x v="0"/>
    <x v="2"/>
    <x v="1"/>
    <x v="5"/>
  </r>
  <r>
    <x v="0"/>
    <x v="3"/>
    <x v="0"/>
    <x v="6"/>
  </r>
  <r>
    <x v="0"/>
    <x v="3"/>
    <x v="1"/>
    <x v="7"/>
  </r>
  <r>
    <x v="1"/>
    <x v="0"/>
    <x v="0"/>
    <x v="8"/>
  </r>
  <r>
    <x v="1"/>
    <x v="0"/>
    <x v="1"/>
    <x v="9"/>
  </r>
  <r>
    <x v="1"/>
    <x v="1"/>
    <x v="0"/>
    <x v="10"/>
  </r>
  <r>
    <x v="1"/>
    <x v="1"/>
    <x v="1"/>
    <x v="11"/>
  </r>
  <r>
    <x v="1"/>
    <x v="2"/>
    <x v="1"/>
    <x v="4"/>
  </r>
  <r>
    <x v="1"/>
    <x v="3"/>
    <x v="0"/>
    <x v="12"/>
  </r>
  <r>
    <x v="1"/>
    <x v="3"/>
    <x v="1"/>
    <x v="13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5">
  <r>
    <x v="0"/>
    <x v="0"/>
    <n v="16"/>
  </r>
  <r>
    <x v="1"/>
    <x v="0"/>
    <n v="89"/>
  </r>
  <r>
    <x v="2"/>
    <x v="0"/>
    <n v="20"/>
  </r>
  <r>
    <x v="3"/>
    <x v="0"/>
    <n v="11"/>
  </r>
  <r>
    <x v="4"/>
    <x v="1"/>
    <n v="6"/>
  </r>
  <r>
    <x v="5"/>
    <x v="1"/>
    <n v="175"/>
  </r>
  <r>
    <x v="6"/>
    <x v="2"/>
    <n v="19"/>
  </r>
  <r>
    <x v="0"/>
    <x v="2"/>
    <n v="6"/>
  </r>
  <r>
    <x v="1"/>
    <x v="2"/>
    <n v="4"/>
  </r>
  <r>
    <x v="3"/>
    <x v="2"/>
    <n v="3"/>
  </r>
  <r>
    <x v="7"/>
    <x v="3"/>
    <n v="5"/>
  </r>
  <r>
    <x v="8"/>
    <x v="3"/>
    <n v="26"/>
  </r>
  <r>
    <x v="4"/>
    <x v="4"/>
    <n v="6"/>
  </r>
  <r>
    <x v="4"/>
    <x v="5"/>
    <n v="15"/>
  </r>
  <r>
    <x v="5"/>
    <x v="5"/>
    <n v="43"/>
  </r>
  <r>
    <x v="8"/>
    <x v="6"/>
    <n v="62"/>
  </r>
  <r>
    <x v="9"/>
    <x v="6"/>
    <n v="15"/>
  </r>
  <r>
    <x v="10"/>
    <x v="0"/>
    <n v="16"/>
  </r>
  <r>
    <x v="11"/>
    <x v="1"/>
    <n v="10"/>
  </r>
  <r>
    <x v="12"/>
    <x v="7"/>
    <n v="1"/>
  </r>
  <r>
    <x v="13"/>
    <x v="7"/>
    <n v="1319"/>
  </r>
  <r>
    <x v="14"/>
    <x v="7"/>
    <n v="3"/>
  </r>
  <r>
    <x v="15"/>
    <x v="7"/>
    <n v="12"/>
  </r>
  <r>
    <x v="7"/>
    <x v="2"/>
    <n v="5"/>
  </r>
  <r>
    <x v="16"/>
    <x v="2"/>
    <n v="24"/>
  </r>
  <r>
    <x v="14"/>
    <x v="3"/>
    <n v="1"/>
  </r>
  <r>
    <x v="2"/>
    <x v="3"/>
    <n v="11"/>
  </r>
  <r>
    <x v="10"/>
    <x v="3"/>
    <n v="261"/>
  </r>
  <r>
    <x v="1"/>
    <x v="4"/>
    <n v="12"/>
  </r>
  <r>
    <x v="11"/>
    <x v="4"/>
    <n v="24"/>
  </r>
  <r>
    <x v="17"/>
    <x v="4"/>
    <n v="4"/>
  </r>
  <r>
    <x v="16"/>
    <x v="5"/>
    <n v="80"/>
  </r>
  <r>
    <x v="16"/>
    <x v="1"/>
    <n v="73"/>
  </r>
  <r>
    <x v="18"/>
    <x v="7"/>
    <n v="1"/>
  </r>
  <r>
    <x v="11"/>
    <x v="7"/>
    <n v="9"/>
  </r>
  <r>
    <x v="9"/>
    <x v="7"/>
    <n v="1385"/>
  </r>
  <r>
    <x v="19"/>
    <x v="2"/>
    <n v="196"/>
  </r>
  <r>
    <x v="10"/>
    <x v="2"/>
    <n v="19"/>
  </r>
  <r>
    <x v="0"/>
    <x v="3"/>
    <n v="7"/>
  </r>
  <r>
    <x v="14"/>
    <x v="4"/>
    <n v="1"/>
  </r>
  <r>
    <x v="2"/>
    <x v="4"/>
    <n v="16"/>
  </r>
  <r>
    <x v="8"/>
    <x v="5"/>
    <n v="79"/>
  </r>
  <r>
    <x v="19"/>
    <x v="5"/>
    <n v="889"/>
  </r>
  <r>
    <x v="6"/>
    <x v="6"/>
    <n v="11"/>
  </r>
  <r>
    <x v="16"/>
    <x v="6"/>
    <n v="29"/>
  </r>
  <r>
    <x v="13"/>
    <x v="6"/>
    <n v="23"/>
  </r>
  <r>
    <x v="15"/>
    <x v="6"/>
    <n v="8"/>
  </r>
  <r>
    <x v="6"/>
    <x v="0"/>
    <n v="8"/>
  </r>
  <r>
    <x v="12"/>
    <x v="0"/>
    <n v="3"/>
  </r>
  <r>
    <x v="13"/>
    <x v="0"/>
    <n v="74"/>
  </r>
  <r>
    <x v="15"/>
    <x v="0"/>
    <n v="83"/>
  </r>
  <r>
    <x v="7"/>
    <x v="1"/>
    <n v="238"/>
  </r>
  <r>
    <x v="13"/>
    <x v="1"/>
    <n v="132"/>
  </r>
  <r>
    <x v="0"/>
    <x v="7"/>
    <n v="30"/>
  </r>
  <r>
    <x v="19"/>
    <x v="7"/>
    <n v="1564"/>
  </r>
  <r>
    <x v="8"/>
    <x v="2"/>
    <n v="29"/>
  </r>
  <r>
    <x v="11"/>
    <x v="2"/>
    <n v="6"/>
  </r>
  <r>
    <x v="9"/>
    <x v="2"/>
    <n v="10"/>
  </r>
  <r>
    <x v="6"/>
    <x v="3"/>
    <n v="1"/>
  </r>
  <r>
    <x v="4"/>
    <x v="3"/>
    <n v="1"/>
  </r>
  <r>
    <x v="1"/>
    <x v="3"/>
    <n v="1"/>
  </r>
  <r>
    <x v="3"/>
    <x v="3"/>
    <n v="6"/>
  </r>
  <r>
    <x v="5"/>
    <x v="4"/>
    <n v="2"/>
  </r>
  <r>
    <x v="11"/>
    <x v="5"/>
    <n v="11"/>
  </r>
  <r>
    <x v="9"/>
    <x v="5"/>
    <n v="253"/>
  </r>
  <r>
    <x v="4"/>
    <x v="6"/>
    <n v="10"/>
  </r>
  <r>
    <x v="17"/>
    <x v="6"/>
    <n v="1"/>
  </r>
  <r>
    <x v="19"/>
    <x v="6"/>
    <n v="339"/>
  </r>
  <r>
    <x v="4"/>
    <x v="0"/>
    <n v="94"/>
  </r>
  <r>
    <x v="17"/>
    <x v="0"/>
    <n v="2"/>
  </r>
  <r>
    <x v="19"/>
    <x v="0"/>
    <n v="2112"/>
  </r>
  <r>
    <x v="5"/>
    <x v="0"/>
    <n v="18"/>
  </r>
  <r>
    <x v="1"/>
    <x v="1"/>
    <n v="11"/>
  </r>
  <r>
    <x v="2"/>
    <x v="1"/>
    <n v="18"/>
  </r>
  <r>
    <x v="10"/>
    <x v="1"/>
    <n v="51"/>
  </r>
  <r>
    <x v="3"/>
    <x v="1"/>
    <n v="5"/>
  </r>
  <r>
    <x v="15"/>
    <x v="1"/>
    <n v="34"/>
  </r>
  <r>
    <x v="4"/>
    <x v="7"/>
    <n v="5"/>
  </r>
  <r>
    <x v="8"/>
    <x v="7"/>
    <n v="175"/>
  </r>
  <r>
    <x v="17"/>
    <x v="7"/>
    <n v="4"/>
  </r>
  <r>
    <x v="5"/>
    <x v="2"/>
    <n v="6"/>
  </r>
  <r>
    <x v="12"/>
    <x v="3"/>
    <n v="1"/>
  </r>
  <r>
    <x v="13"/>
    <x v="3"/>
    <n v="310"/>
  </r>
  <r>
    <x v="19"/>
    <x v="3"/>
    <n v="312"/>
  </r>
  <r>
    <x v="15"/>
    <x v="3"/>
    <n v="7"/>
  </r>
  <r>
    <x v="0"/>
    <x v="5"/>
    <n v="301"/>
  </r>
  <r>
    <x v="2"/>
    <x v="5"/>
    <n v="43"/>
  </r>
  <r>
    <x v="10"/>
    <x v="5"/>
    <n v="29"/>
  </r>
  <r>
    <x v="0"/>
    <x v="6"/>
    <n v="2"/>
  </r>
  <r>
    <x v="9"/>
    <x v="0"/>
    <n v="41"/>
  </r>
  <r>
    <x v="14"/>
    <x v="0"/>
    <n v="1"/>
  </r>
  <r>
    <x v="8"/>
    <x v="1"/>
    <n v="224"/>
  </r>
  <r>
    <x v="9"/>
    <x v="1"/>
    <n v="23"/>
  </r>
  <r>
    <x v="19"/>
    <x v="1"/>
    <n v="755"/>
  </r>
  <r>
    <x v="7"/>
    <x v="7"/>
    <n v="25"/>
  </r>
  <r>
    <x v="16"/>
    <x v="7"/>
    <n v="128"/>
  </r>
  <r>
    <x v="5"/>
    <x v="3"/>
    <n v="3"/>
  </r>
  <r>
    <x v="0"/>
    <x v="4"/>
    <n v="160"/>
  </r>
  <r>
    <x v="18"/>
    <x v="4"/>
    <n v="5"/>
  </r>
  <r>
    <x v="19"/>
    <x v="4"/>
    <n v="4300"/>
  </r>
  <r>
    <x v="7"/>
    <x v="5"/>
    <n v="95"/>
  </r>
  <r>
    <x v="12"/>
    <x v="5"/>
    <n v="13"/>
  </r>
  <r>
    <x v="13"/>
    <x v="5"/>
    <n v="259"/>
  </r>
  <r>
    <x v="15"/>
    <x v="5"/>
    <n v="44"/>
  </r>
  <r>
    <x v="1"/>
    <x v="6"/>
    <n v="3"/>
  </r>
  <r>
    <x v="2"/>
    <x v="6"/>
    <n v="3"/>
  </r>
  <r>
    <x v="10"/>
    <x v="6"/>
    <n v="5"/>
  </r>
  <r>
    <x v="3"/>
    <x v="6"/>
    <n v="2"/>
  </r>
  <r>
    <x v="7"/>
    <x v="0"/>
    <n v="24"/>
  </r>
  <r>
    <x v="8"/>
    <x v="0"/>
    <n v="574"/>
  </r>
  <r>
    <x v="6"/>
    <x v="7"/>
    <n v="9"/>
  </r>
  <r>
    <x v="1"/>
    <x v="7"/>
    <n v="15"/>
  </r>
  <r>
    <x v="2"/>
    <x v="7"/>
    <n v="16"/>
  </r>
  <r>
    <x v="10"/>
    <x v="7"/>
    <n v="1139"/>
  </r>
  <r>
    <x v="3"/>
    <x v="7"/>
    <n v="14"/>
  </r>
  <r>
    <x v="7"/>
    <x v="4"/>
    <n v="1"/>
  </r>
  <r>
    <x v="8"/>
    <x v="4"/>
    <n v="48"/>
  </r>
  <r>
    <x v="17"/>
    <x v="5"/>
    <n v="5"/>
  </r>
  <r>
    <x v="14"/>
    <x v="5"/>
    <n v="2"/>
  </r>
  <r>
    <x v="11"/>
    <x v="6"/>
    <n v="7"/>
  </r>
  <r>
    <x v="5"/>
    <x v="6"/>
    <n v="2"/>
  </r>
  <r>
    <x v="16"/>
    <x v="0"/>
    <n v="131"/>
  </r>
  <r>
    <x v="11"/>
    <x v="0"/>
    <n v="17"/>
  </r>
  <r>
    <x v="0"/>
    <x v="1"/>
    <n v="5"/>
  </r>
  <r>
    <x v="5"/>
    <x v="7"/>
    <n v="29"/>
  </r>
  <r>
    <x v="4"/>
    <x v="2"/>
    <n v="3"/>
  </r>
  <r>
    <x v="13"/>
    <x v="2"/>
    <n v="13"/>
  </r>
  <r>
    <x v="17"/>
    <x v="2"/>
    <n v="2"/>
  </r>
  <r>
    <x v="14"/>
    <x v="2"/>
    <n v="1"/>
  </r>
  <r>
    <x v="15"/>
    <x v="2"/>
    <n v="12"/>
  </r>
  <r>
    <x v="16"/>
    <x v="3"/>
    <n v="21"/>
  </r>
  <r>
    <x v="11"/>
    <x v="3"/>
    <n v="1"/>
  </r>
  <r>
    <x v="9"/>
    <x v="3"/>
    <n v="222"/>
  </r>
  <r>
    <x v="6"/>
    <x v="4"/>
    <n v="23"/>
  </r>
  <r>
    <x v="16"/>
    <x v="4"/>
    <n v="32"/>
  </r>
  <r>
    <x v="12"/>
    <x v="4"/>
    <n v="3"/>
  </r>
  <r>
    <x v="9"/>
    <x v="4"/>
    <n v="185"/>
  </r>
  <r>
    <x v="13"/>
    <x v="4"/>
    <n v="238"/>
  </r>
  <r>
    <x v="10"/>
    <x v="4"/>
    <n v="23"/>
  </r>
  <r>
    <x v="3"/>
    <x v="4"/>
    <n v="163"/>
  </r>
  <r>
    <x v="15"/>
    <x v="4"/>
    <n v="331"/>
  </r>
  <r>
    <x v="6"/>
    <x v="5"/>
    <n v="4"/>
  </r>
  <r>
    <x v="18"/>
    <x v="5"/>
    <n v="3"/>
  </r>
  <r>
    <x v="1"/>
    <x v="5"/>
    <n v="17"/>
  </r>
  <r>
    <x v="3"/>
    <x v="5"/>
    <n v="3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2">
  <r>
    <x v="0"/>
    <x v="0"/>
    <x v="0"/>
    <x v="0"/>
  </r>
  <r>
    <x v="0"/>
    <x v="0"/>
    <x v="1"/>
    <x v="1"/>
  </r>
  <r>
    <x v="0"/>
    <x v="0"/>
    <x v="2"/>
    <x v="2"/>
  </r>
  <r>
    <x v="0"/>
    <x v="0"/>
    <x v="3"/>
    <x v="3"/>
  </r>
  <r>
    <x v="1"/>
    <x v="1"/>
    <x v="4"/>
    <x v="2"/>
  </r>
  <r>
    <x v="1"/>
    <x v="1"/>
    <x v="0"/>
    <x v="4"/>
  </r>
  <r>
    <x v="1"/>
    <x v="1"/>
    <x v="2"/>
    <x v="5"/>
  </r>
  <r>
    <x v="1"/>
    <x v="2"/>
    <x v="1"/>
    <x v="6"/>
  </r>
  <r>
    <x v="1"/>
    <x v="2"/>
    <x v="0"/>
    <x v="7"/>
  </r>
  <r>
    <x v="1"/>
    <x v="1"/>
    <x v="1"/>
    <x v="8"/>
  </r>
  <r>
    <x v="1"/>
    <x v="1"/>
    <x v="3"/>
    <x v="3"/>
  </r>
  <r>
    <x v="0"/>
    <x v="3"/>
    <x v="5"/>
    <x v="9"/>
  </r>
  <r>
    <x v="1"/>
    <x v="2"/>
    <x v="2"/>
    <x v="10"/>
  </r>
  <r>
    <x v="1"/>
    <x v="1"/>
    <x v="5"/>
    <x v="11"/>
  </r>
  <r>
    <x v="1"/>
    <x v="1"/>
    <x v="6"/>
    <x v="8"/>
  </r>
  <r>
    <x v="0"/>
    <x v="4"/>
    <x v="2"/>
    <x v="9"/>
  </r>
  <r>
    <x v="1"/>
    <x v="5"/>
    <x v="2"/>
    <x v="12"/>
  </r>
  <r>
    <x v="1"/>
    <x v="6"/>
    <x v="4"/>
    <x v="0"/>
  </r>
  <r>
    <x v="1"/>
    <x v="6"/>
    <x v="0"/>
    <x v="4"/>
  </r>
  <r>
    <x v="1"/>
    <x v="6"/>
    <x v="5"/>
    <x v="3"/>
  </r>
  <r>
    <x v="1"/>
    <x v="6"/>
    <x v="2"/>
    <x v="13"/>
  </r>
  <r>
    <x v="1"/>
    <x v="7"/>
    <x v="3"/>
    <x v="14"/>
  </r>
  <r>
    <x v="1"/>
    <x v="8"/>
    <x v="5"/>
    <x v="15"/>
  </r>
  <r>
    <x v="1"/>
    <x v="8"/>
    <x v="3"/>
    <x v="8"/>
  </r>
  <r>
    <x v="1"/>
    <x v="8"/>
    <x v="4"/>
    <x v="15"/>
  </r>
  <r>
    <x v="0"/>
    <x v="9"/>
    <x v="0"/>
    <x v="14"/>
  </r>
  <r>
    <x v="0"/>
    <x v="9"/>
    <x v="3"/>
    <x v="6"/>
  </r>
  <r>
    <x v="0"/>
    <x v="9"/>
    <x v="4"/>
    <x v="8"/>
  </r>
  <r>
    <x v="0"/>
    <x v="10"/>
    <x v="5"/>
    <x v="16"/>
  </r>
  <r>
    <x v="0"/>
    <x v="10"/>
    <x v="6"/>
    <x v="2"/>
  </r>
  <r>
    <x v="0"/>
    <x v="10"/>
    <x v="0"/>
    <x v="17"/>
  </r>
  <r>
    <x v="1"/>
    <x v="11"/>
    <x v="2"/>
    <x v="18"/>
  </r>
  <r>
    <x v="0"/>
    <x v="10"/>
    <x v="1"/>
    <x v="2"/>
  </r>
  <r>
    <x v="0"/>
    <x v="10"/>
    <x v="4"/>
    <x v="9"/>
  </r>
  <r>
    <x v="0"/>
    <x v="10"/>
    <x v="3"/>
    <x v="14"/>
  </r>
  <r>
    <x v="0"/>
    <x v="10"/>
    <x v="2"/>
    <x v="3"/>
  </r>
  <r>
    <x v="0"/>
    <x v="12"/>
    <x v="2"/>
    <x v="6"/>
  </r>
  <r>
    <x v="0"/>
    <x v="0"/>
    <x v="6"/>
    <x v="16"/>
  </r>
  <r>
    <x v="0"/>
    <x v="3"/>
    <x v="1"/>
    <x v="8"/>
  </r>
  <r>
    <x v="0"/>
    <x v="3"/>
    <x v="0"/>
    <x v="3"/>
  </r>
  <r>
    <x v="0"/>
    <x v="3"/>
    <x v="3"/>
    <x v="9"/>
  </r>
  <r>
    <x v="1"/>
    <x v="13"/>
    <x v="3"/>
    <x v="14"/>
  </r>
  <r>
    <x v="0"/>
    <x v="14"/>
    <x v="0"/>
    <x v="6"/>
  </r>
  <r>
    <x v="0"/>
    <x v="4"/>
    <x v="3"/>
    <x v="14"/>
  </r>
  <r>
    <x v="0"/>
    <x v="0"/>
    <x v="5"/>
    <x v="3"/>
  </r>
  <r>
    <x v="0"/>
    <x v="14"/>
    <x v="2"/>
    <x v="11"/>
  </r>
  <r>
    <x v="1"/>
    <x v="15"/>
    <x v="2"/>
    <x v="15"/>
  </r>
  <r>
    <x v="1"/>
    <x v="8"/>
    <x v="2"/>
    <x v="16"/>
  </r>
  <r>
    <x v="1"/>
    <x v="6"/>
    <x v="3"/>
    <x v="11"/>
  </r>
  <r>
    <x v="0"/>
    <x v="9"/>
    <x v="6"/>
    <x v="8"/>
  </r>
  <r>
    <x v="1"/>
    <x v="8"/>
    <x v="0"/>
    <x v="16"/>
  </r>
  <r>
    <x v="1"/>
    <x v="16"/>
    <x v="5"/>
    <x v="18"/>
  </r>
  <r>
    <x v="0"/>
    <x v="17"/>
    <x v="3"/>
    <x v="19"/>
  </r>
  <r>
    <x v="1"/>
    <x v="6"/>
    <x v="1"/>
    <x v="20"/>
  </r>
  <r>
    <x v="0"/>
    <x v="3"/>
    <x v="4"/>
    <x v="14"/>
  </r>
  <r>
    <x v="0"/>
    <x v="3"/>
    <x v="6"/>
    <x v="14"/>
  </r>
  <r>
    <x v="0"/>
    <x v="17"/>
    <x v="4"/>
    <x v="11"/>
  </r>
  <r>
    <x v="0"/>
    <x v="17"/>
    <x v="0"/>
    <x v="21"/>
  </r>
  <r>
    <x v="0"/>
    <x v="12"/>
    <x v="4"/>
    <x v="6"/>
  </r>
  <r>
    <x v="0"/>
    <x v="12"/>
    <x v="6"/>
    <x v="9"/>
  </r>
  <r>
    <x v="1"/>
    <x v="6"/>
    <x v="6"/>
    <x v="14"/>
  </r>
  <r>
    <x v="1"/>
    <x v="18"/>
    <x v="1"/>
    <x v="20"/>
  </r>
  <r>
    <x v="1"/>
    <x v="18"/>
    <x v="0"/>
    <x v="22"/>
  </r>
  <r>
    <x v="1"/>
    <x v="18"/>
    <x v="2"/>
    <x v="22"/>
  </r>
  <r>
    <x v="1"/>
    <x v="2"/>
    <x v="5"/>
    <x v="3"/>
  </r>
  <r>
    <x v="0"/>
    <x v="4"/>
    <x v="1"/>
    <x v="15"/>
  </r>
  <r>
    <x v="1"/>
    <x v="13"/>
    <x v="5"/>
    <x v="15"/>
  </r>
  <r>
    <x v="1"/>
    <x v="15"/>
    <x v="5"/>
    <x v="14"/>
  </r>
  <r>
    <x v="0"/>
    <x v="19"/>
    <x v="6"/>
    <x v="6"/>
  </r>
  <r>
    <x v="0"/>
    <x v="19"/>
    <x v="2"/>
    <x v="0"/>
  </r>
  <r>
    <x v="1"/>
    <x v="5"/>
    <x v="4"/>
    <x v="9"/>
  </r>
  <r>
    <x v="1"/>
    <x v="5"/>
    <x v="1"/>
    <x v="8"/>
  </r>
  <r>
    <x v="0"/>
    <x v="0"/>
    <x v="4"/>
    <x v="3"/>
  </r>
  <r>
    <x v="1"/>
    <x v="11"/>
    <x v="4"/>
    <x v="14"/>
  </r>
  <r>
    <x v="0"/>
    <x v="17"/>
    <x v="6"/>
    <x v="8"/>
  </r>
  <r>
    <x v="0"/>
    <x v="17"/>
    <x v="1"/>
    <x v="9"/>
  </r>
  <r>
    <x v="0"/>
    <x v="17"/>
    <x v="2"/>
    <x v="19"/>
  </r>
  <r>
    <x v="1"/>
    <x v="2"/>
    <x v="3"/>
    <x v="2"/>
  </r>
  <r>
    <x v="1"/>
    <x v="2"/>
    <x v="4"/>
    <x v="16"/>
  </r>
  <r>
    <x v="1"/>
    <x v="16"/>
    <x v="4"/>
    <x v="15"/>
  </r>
  <r>
    <x v="0"/>
    <x v="19"/>
    <x v="0"/>
    <x v="19"/>
  </r>
  <r>
    <x v="0"/>
    <x v="19"/>
    <x v="1"/>
    <x v="12"/>
  </r>
  <r>
    <x v="0"/>
    <x v="14"/>
    <x v="1"/>
    <x v="18"/>
  </r>
  <r>
    <x v="1"/>
    <x v="2"/>
    <x v="6"/>
    <x v="9"/>
  </r>
  <r>
    <x v="1"/>
    <x v="11"/>
    <x v="1"/>
    <x v="9"/>
  </r>
  <r>
    <x v="0"/>
    <x v="14"/>
    <x v="5"/>
    <x v="18"/>
  </r>
  <r>
    <x v="1"/>
    <x v="15"/>
    <x v="0"/>
    <x v="11"/>
  </r>
  <r>
    <x v="1"/>
    <x v="15"/>
    <x v="1"/>
    <x v="18"/>
  </r>
  <r>
    <x v="0"/>
    <x v="9"/>
    <x v="2"/>
    <x v="3"/>
  </r>
  <r>
    <x v="1"/>
    <x v="18"/>
    <x v="4"/>
    <x v="6"/>
  </r>
  <r>
    <x v="0"/>
    <x v="19"/>
    <x v="5"/>
    <x v="20"/>
  </r>
  <r>
    <x v="0"/>
    <x v="19"/>
    <x v="4"/>
    <x v="6"/>
  </r>
  <r>
    <x v="1"/>
    <x v="18"/>
    <x v="6"/>
    <x v="9"/>
  </r>
  <r>
    <x v="1"/>
    <x v="5"/>
    <x v="0"/>
    <x v="11"/>
  </r>
  <r>
    <x v="1"/>
    <x v="18"/>
    <x v="5"/>
    <x v="18"/>
  </r>
  <r>
    <x v="1"/>
    <x v="18"/>
    <x v="3"/>
    <x v="14"/>
  </r>
  <r>
    <x v="0"/>
    <x v="9"/>
    <x v="1"/>
    <x v="14"/>
  </r>
  <r>
    <x v="0"/>
    <x v="17"/>
    <x v="5"/>
    <x v="9"/>
  </r>
  <r>
    <x v="1"/>
    <x v="5"/>
    <x v="5"/>
    <x v="9"/>
  </r>
  <r>
    <x v="0"/>
    <x v="19"/>
    <x v="3"/>
    <x v="6"/>
  </r>
  <r>
    <x v="0"/>
    <x v="3"/>
    <x v="2"/>
    <x v="11"/>
  </r>
  <r>
    <x v="1"/>
    <x v="5"/>
    <x v="6"/>
    <x v="18"/>
  </r>
  <r>
    <x v="1"/>
    <x v="13"/>
    <x v="2"/>
    <x v="14"/>
  </r>
  <r>
    <x v="1"/>
    <x v="8"/>
    <x v="1"/>
    <x v="15"/>
  </r>
  <r>
    <x v="1"/>
    <x v="13"/>
    <x v="0"/>
    <x v="14"/>
  </r>
  <r>
    <x v="1"/>
    <x v="20"/>
    <x v="1"/>
    <x v="15"/>
  </r>
  <r>
    <x v="1"/>
    <x v="20"/>
    <x v="0"/>
    <x v="15"/>
  </r>
  <r>
    <x v="1"/>
    <x v="20"/>
    <x v="4"/>
    <x v="15"/>
  </r>
  <r>
    <x v="0"/>
    <x v="12"/>
    <x v="3"/>
    <x v="14"/>
  </r>
  <r>
    <x v="1"/>
    <x v="13"/>
    <x v="1"/>
    <x v="15"/>
  </r>
  <r>
    <x v="1"/>
    <x v="13"/>
    <x v="4"/>
    <x v="18"/>
  </r>
  <r>
    <x v="1"/>
    <x v="13"/>
    <x v="6"/>
    <x v="18"/>
  </r>
  <r>
    <x v="1"/>
    <x v="16"/>
    <x v="1"/>
    <x v="15"/>
  </r>
  <r>
    <x v="1"/>
    <x v="16"/>
    <x v="0"/>
    <x v="15"/>
  </r>
  <r>
    <x v="0"/>
    <x v="12"/>
    <x v="5"/>
    <x v="15"/>
  </r>
  <r>
    <x v="0"/>
    <x v="12"/>
    <x v="1"/>
    <x v="8"/>
  </r>
  <r>
    <x v="1"/>
    <x v="16"/>
    <x v="2"/>
    <x v="18"/>
  </r>
  <r>
    <x v="0"/>
    <x v="9"/>
    <x v="5"/>
    <x v="15"/>
  </r>
  <r>
    <x v="1"/>
    <x v="16"/>
    <x v="6"/>
    <x v="18"/>
  </r>
  <r>
    <x v="1"/>
    <x v="15"/>
    <x v="4"/>
    <x v="15"/>
  </r>
  <r>
    <x v="1"/>
    <x v="7"/>
    <x v="1"/>
    <x v="18"/>
  </r>
  <r>
    <x v="1"/>
    <x v="7"/>
    <x v="0"/>
    <x v="18"/>
  </r>
  <r>
    <x v="0"/>
    <x v="4"/>
    <x v="0"/>
    <x v="9"/>
  </r>
  <r>
    <x v="1"/>
    <x v="11"/>
    <x v="0"/>
    <x v="14"/>
  </r>
  <r>
    <x v="1"/>
    <x v="11"/>
    <x v="6"/>
    <x v="14"/>
  </r>
  <r>
    <x v="1"/>
    <x v="7"/>
    <x v="4"/>
    <x v="18"/>
  </r>
  <r>
    <x v="1"/>
    <x v="7"/>
    <x v="6"/>
    <x v="18"/>
  </r>
  <r>
    <x v="1"/>
    <x v="7"/>
    <x v="5"/>
    <x v="15"/>
  </r>
  <r>
    <x v="1"/>
    <x v="20"/>
    <x v="2"/>
    <x v="15"/>
  </r>
  <r>
    <x v="1"/>
    <x v="11"/>
    <x v="5"/>
    <x v="18"/>
  </r>
  <r>
    <x v="1"/>
    <x v="20"/>
    <x v="6"/>
    <x v="18"/>
  </r>
  <r>
    <x v="0"/>
    <x v="4"/>
    <x v="4"/>
    <x v="18"/>
  </r>
  <r>
    <x v="0"/>
    <x v="14"/>
    <x v="3"/>
    <x v="18"/>
  </r>
  <r>
    <x v="0"/>
    <x v="12"/>
    <x v="0"/>
    <x v="15"/>
  </r>
  <r>
    <x v="0"/>
    <x v="21"/>
    <x v="1"/>
    <x v="23"/>
  </r>
  <r>
    <x v="0"/>
    <x v="21"/>
    <x v="6"/>
    <x v="6"/>
  </r>
  <r>
    <x v="0"/>
    <x v="21"/>
    <x v="5"/>
    <x v="12"/>
  </r>
  <r>
    <x v="0"/>
    <x v="21"/>
    <x v="0"/>
    <x v="0"/>
  </r>
  <r>
    <x v="0"/>
    <x v="21"/>
    <x v="4"/>
    <x v="3"/>
  </r>
  <r>
    <x v="0"/>
    <x v="21"/>
    <x v="3"/>
    <x v="3"/>
  </r>
  <r>
    <x v="0"/>
    <x v="21"/>
    <x v="2"/>
    <x v="12"/>
  </r>
  <r>
    <x v="0"/>
    <x v="22"/>
    <x v="1"/>
    <x v="24"/>
  </r>
  <r>
    <x v="0"/>
    <x v="22"/>
    <x v="3"/>
    <x v="12"/>
  </r>
  <r>
    <x v="0"/>
    <x v="22"/>
    <x v="2"/>
    <x v="19"/>
  </r>
  <r>
    <x v="0"/>
    <x v="22"/>
    <x v="0"/>
    <x v="24"/>
  </r>
  <r>
    <x v="0"/>
    <x v="22"/>
    <x v="5"/>
    <x v="22"/>
  </r>
  <r>
    <x v="0"/>
    <x v="22"/>
    <x v="4"/>
    <x v="20"/>
  </r>
  <r>
    <x v="0"/>
    <x v="22"/>
    <x v="6"/>
    <x v="20"/>
  </r>
  <r>
    <x v="0"/>
    <x v="23"/>
    <x v="0"/>
    <x v="25"/>
  </r>
  <r>
    <x v="0"/>
    <x v="23"/>
    <x v="2"/>
    <x v="21"/>
  </r>
  <r>
    <x v="0"/>
    <x v="23"/>
    <x v="1"/>
    <x v="26"/>
  </r>
  <r>
    <x v="0"/>
    <x v="23"/>
    <x v="6"/>
    <x v="2"/>
  </r>
  <r>
    <x v="0"/>
    <x v="23"/>
    <x v="4"/>
    <x v="21"/>
  </r>
  <r>
    <x v="0"/>
    <x v="23"/>
    <x v="3"/>
    <x v="6"/>
  </r>
  <r>
    <x v="0"/>
    <x v="23"/>
    <x v="5"/>
    <x v="3"/>
  </r>
  <r>
    <x v="2"/>
    <x v="24"/>
    <x v="0"/>
    <x v="11"/>
  </r>
  <r>
    <x v="2"/>
    <x v="24"/>
    <x v="1"/>
    <x v="9"/>
  </r>
  <r>
    <x v="2"/>
    <x v="24"/>
    <x v="6"/>
    <x v="9"/>
  </r>
  <r>
    <x v="2"/>
    <x v="24"/>
    <x v="4"/>
    <x v="14"/>
  </r>
  <r>
    <x v="2"/>
    <x v="24"/>
    <x v="3"/>
    <x v="14"/>
  </r>
  <r>
    <x v="2"/>
    <x v="24"/>
    <x v="2"/>
    <x v="8"/>
  </r>
  <r>
    <x v="2"/>
    <x v="24"/>
    <x v="5"/>
    <x v="18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x v="0"/>
    <n v="1403"/>
  </r>
  <r>
    <x v="0"/>
    <x v="0"/>
    <x v="1"/>
    <n v="84"/>
  </r>
  <r>
    <x v="1"/>
    <x v="1"/>
    <x v="0"/>
    <n v="1377"/>
  </r>
  <r>
    <x v="1"/>
    <x v="2"/>
    <x v="1"/>
    <n v="94"/>
  </r>
  <r>
    <x v="1"/>
    <x v="3"/>
    <x v="0"/>
    <n v="1410"/>
  </r>
  <r>
    <x v="1"/>
    <x v="4"/>
    <x v="0"/>
    <n v="1674"/>
  </r>
  <r>
    <x v="1"/>
    <x v="5"/>
    <x v="0"/>
    <n v="1827"/>
  </r>
  <r>
    <x v="1"/>
    <x v="6"/>
    <x v="0"/>
    <n v="1566"/>
  </r>
  <r>
    <x v="1"/>
    <x v="7"/>
    <x v="0"/>
    <n v="1613"/>
  </r>
  <r>
    <x v="1"/>
    <x v="8"/>
    <x v="0"/>
    <n v="1638"/>
  </r>
  <r>
    <x v="1"/>
    <x v="2"/>
    <x v="0"/>
    <n v="1571"/>
  </r>
  <r>
    <x v="1"/>
    <x v="9"/>
    <x v="0"/>
    <n v="1458"/>
  </r>
  <r>
    <x v="1"/>
    <x v="0"/>
    <x v="0"/>
    <n v="1497"/>
  </r>
  <r>
    <x v="1"/>
    <x v="10"/>
    <x v="0"/>
    <n v="1638"/>
  </r>
  <r>
    <x v="1"/>
    <x v="6"/>
    <x v="1"/>
    <n v="94"/>
  </r>
  <r>
    <x v="1"/>
    <x v="11"/>
    <x v="0"/>
    <n v="1611"/>
  </r>
  <r>
    <x v="1"/>
    <x v="5"/>
    <x v="1"/>
    <n v="89"/>
  </r>
  <r>
    <x v="1"/>
    <x v="11"/>
    <x v="1"/>
    <n v="85"/>
  </r>
  <r>
    <x v="1"/>
    <x v="0"/>
    <x v="1"/>
    <n v="82"/>
  </r>
  <r>
    <x v="1"/>
    <x v="3"/>
    <x v="1"/>
    <n v="74"/>
  </r>
  <r>
    <x v="1"/>
    <x v="9"/>
    <x v="1"/>
    <n v="93"/>
  </r>
  <r>
    <x v="2"/>
    <x v="0"/>
    <x v="0"/>
    <n v="1379"/>
  </r>
  <r>
    <x v="2"/>
    <x v="2"/>
    <x v="0"/>
    <n v="1600"/>
  </r>
  <r>
    <x v="2"/>
    <x v="5"/>
    <x v="0"/>
    <n v="1665"/>
  </r>
  <r>
    <x v="2"/>
    <x v="7"/>
    <x v="0"/>
    <n v="1579"/>
  </r>
  <r>
    <x v="2"/>
    <x v="8"/>
    <x v="1"/>
    <n v="98"/>
  </r>
  <r>
    <x v="2"/>
    <x v="8"/>
    <x v="0"/>
    <n v="1634"/>
  </r>
  <r>
    <x v="2"/>
    <x v="10"/>
    <x v="0"/>
    <n v="1641"/>
  </r>
  <r>
    <x v="2"/>
    <x v="6"/>
    <x v="0"/>
    <n v="1733"/>
  </r>
  <r>
    <x v="2"/>
    <x v="4"/>
    <x v="0"/>
    <n v="1634"/>
  </r>
  <r>
    <x v="2"/>
    <x v="9"/>
    <x v="0"/>
    <n v="1501"/>
  </r>
  <r>
    <x v="2"/>
    <x v="3"/>
    <x v="0"/>
    <n v="1519"/>
  </r>
  <r>
    <x v="2"/>
    <x v="11"/>
    <x v="0"/>
    <n v="1619"/>
  </r>
  <r>
    <x v="2"/>
    <x v="1"/>
    <x v="0"/>
    <n v="1415"/>
  </r>
  <r>
    <x v="2"/>
    <x v="4"/>
    <x v="1"/>
    <n v="81"/>
  </r>
  <r>
    <x v="2"/>
    <x v="11"/>
    <x v="1"/>
    <n v="95"/>
  </r>
  <r>
    <x v="2"/>
    <x v="2"/>
    <x v="1"/>
    <n v="97"/>
  </r>
  <r>
    <x v="2"/>
    <x v="1"/>
    <x v="1"/>
    <n v="83"/>
  </r>
  <r>
    <x v="2"/>
    <x v="6"/>
    <x v="1"/>
    <n v="98"/>
  </r>
  <r>
    <x v="2"/>
    <x v="10"/>
    <x v="1"/>
    <n v="89"/>
  </r>
  <r>
    <x v="2"/>
    <x v="5"/>
    <x v="1"/>
    <n v="86"/>
  </r>
  <r>
    <x v="2"/>
    <x v="3"/>
    <x v="1"/>
    <n v="90"/>
  </r>
  <r>
    <x v="2"/>
    <x v="0"/>
    <x v="1"/>
    <n v="92"/>
  </r>
  <r>
    <x v="1"/>
    <x v="1"/>
    <x v="1"/>
    <n v="79"/>
  </r>
  <r>
    <x v="1"/>
    <x v="10"/>
    <x v="1"/>
    <n v="94"/>
  </r>
  <r>
    <x v="1"/>
    <x v="8"/>
    <x v="1"/>
    <n v="95"/>
  </r>
  <r>
    <x v="3"/>
    <x v="7"/>
    <x v="1"/>
    <n v="110"/>
  </r>
  <r>
    <x v="3"/>
    <x v="9"/>
    <x v="1"/>
    <n v="115"/>
  </r>
  <r>
    <x v="3"/>
    <x v="4"/>
    <x v="0"/>
    <n v="1660"/>
  </r>
  <r>
    <x v="3"/>
    <x v="6"/>
    <x v="0"/>
    <n v="1820"/>
  </r>
  <r>
    <x v="3"/>
    <x v="5"/>
    <x v="0"/>
    <n v="1783"/>
  </r>
  <r>
    <x v="3"/>
    <x v="10"/>
    <x v="0"/>
    <n v="1972"/>
  </r>
  <r>
    <x v="3"/>
    <x v="11"/>
    <x v="1"/>
    <n v="107"/>
  </r>
  <r>
    <x v="3"/>
    <x v="7"/>
    <x v="0"/>
    <n v="1667"/>
  </r>
  <r>
    <x v="3"/>
    <x v="2"/>
    <x v="0"/>
    <n v="1863"/>
  </r>
  <r>
    <x v="3"/>
    <x v="8"/>
    <x v="0"/>
    <n v="1659"/>
  </r>
  <r>
    <x v="3"/>
    <x v="0"/>
    <x v="0"/>
    <n v="1275"/>
  </r>
  <r>
    <x v="3"/>
    <x v="1"/>
    <x v="0"/>
    <n v="1262"/>
  </r>
  <r>
    <x v="3"/>
    <x v="11"/>
    <x v="0"/>
    <n v="1529"/>
  </r>
  <r>
    <x v="3"/>
    <x v="9"/>
    <x v="0"/>
    <n v="1752"/>
  </r>
  <r>
    <x v="3"/>
    <x v="3"/>
    <x v="0"/>
    <n v="1544"/>
  </r>
  <r>
    <x v="3"/>
    <x v="5"/>
    <x v="1"/>
    <n v="106"/>
  </r>
  <r>
    <x v="3"/>
    <x v="6"/>
    <x v="1"/>
    <n v="90"/>
  </r>
  <r>
    <x v="3"/>
    <x v="8"/>
    <x v="1"/>
    <n v="92"/>
  </r>
  <r>
    <x v="3"/>
    <x v="3"/>
    <x v="1"/>
    <n v="102"/>
  </r>
  <r>
    <x v="3"/>
    <x v="4"/>
    <x v="1"/>
    <n v="96"/>
  </r>
  <r>
    <x v="3"/>
    <x v="2"/>
    <x v="1"/>
    <n v="113"/>
  </r>
  <r>
    <x v="3"/>
    <x v="1"/>
    <x v="1"/>
    <n v="85"/>
  </r>
  <r>
    <x v="3"/>
    <x v="10"/>
    <x v="1"/>
    <n v="108"/>
  </r>
  <r>
    <x v="3"/>
    <x v="0"/>
    <x v="1"/>
    <n v="96"/>
  </r>
  <r>
    <x v="2"/>
    <x v="9"/>
    <x v="1"/>
    <n v="84"/>
  </r>
  <r>
    <x v="4"/>
    <x v="0"/>
    <x v="0"/>
    <n v="1498"/>
  </r>
  <r>
    <x v="4"/>
    <x v="11"/>
    <x v="0"/>
    <n v="1231"/>
  </r>
  <r>
    <x v="4"/>
    <x v="5"/>
    <x v="0"/>
    <n v="1524"/>
  </r>
  <r>
    <x v="4"/>
    <x v="10"/>
    <x v="0"/>
    <n v="1567"/>
  </r>
  <r>
    <x v="4"/>
    <x v="7"/>
    <x v="0"/>
    <n v="1457"/>
  </r>
  <r>
    <x v="4"/>
    <x v="8"/>
    <x v="0"/>
    <n v="1267"/>
  </r>
  <r>
    <x v="4"/>
    <x v="2"/>
    <x v="0"/>
    <n v="1355"/>
  </r>
  <r>
    <x v="4"/>
    <x v="4"/>
    <x v="0"/>
    <n v="1356"/>
  </r>
  <r>
    <x v="4"/>
    <x v="9"/>
    <x v="0"/>
    <n v="1191"/>
  </r>
  <r>
    <x v="4"/>
    <x v="3"/>
    <x v="0"/>
    <n v="979"/>
  </r>
  <r>
    <x v="4"/>
    <x v="1"/>
    <x v="0"/>
    <n v="1515"/>
  </r>
  <r>
    <x v="4"/>
    <x v="6"/>
    <x v="0"/>
    <n v="1424"/>
  </r>
  <r>
    <x v="4"/>
    <x v="5"/>
    <x v="1"/>
    <n v="110"/>
  </r>
  <r>
    <x v="4"/>
    <x v="4"/>
    <x v="1"/>
    <n v="94"/>
  </r>
  <r>
    <x v="4"/>
    <x v="3"/>
    <x v="1"/>
    <n v="52"/>
  </r>
  <r>
    <x v="4"/>
    <x v="2"/>
    <x v="1"/>
    <n v="115"/>
  </r>
  <r>
    <x v="4"/>
    <x v="6"/>
    <x v="1"/>
    <n v="96"/>
  </r>
  <r>
    <x v="4"/>
    <x v="11"/>
    <x v="1"/>
    <n v="62"/>
  </r>
  <r>
    <x v="4"/>
    <x v="9"/>
    <x v="1"/>
    <n v="107"/>
  </r>
  <r>
    <x v="4"/>
    <x v="0"/>
    <x v="1"/>
    <n v="84"/>
  </r>
  <r>
    <x v="4"/>
    <x v="1"/>
    <x v="1"/>
    <n v="92"/>
  </r>
  <r>
    <x v="2"/>
    <x v="7"/>
    <x v="1"/>
    <n v="100"/>
  </r>
  <r>
    <x v="4"/>
    <x v="10"/>
    <x v="1"/>
    <n v="110"/>
  </r>
  <r>
    <x v="1"/>
    <x v="7"/>
    <x v="1"/>
    <n v="102"/>
  </r>
  <r>
    <x v="1"/>
    <x v="4"/>
    <x v="1"/>
    <n v="106"/>
  </r>
  <r>
    <x v="0"/>
    <x v="1"/>
    <x v="1"/>
    <n v="69"/>
  </r>
  <r>
    <x v="0"/>
    <x v="1"/>
    <x v="0"/>
    <n v="1396"/>
  </r>
  <r>
    <x v="4"/>
    <x v="8"/>
    <x v="1"/>
    <n v="101"/>
  </r>
  <r>
    <x v="4"/>
    <x v="7"/>
    <x v="1"/>
    <n v="120"/>
  </r>
  <r>
    <x v="0"/>
    <x v="11"/>
    <x v="1"/>
    <n v="90"/>
  </r>
  <r>
    <x v="0"/>
    <x v="11"/>
    <x v="0"/>
    <n v="1523"/>
  </r>
  <r>
    <x v="0"/>
    <x v="3"/>
    <x v="1"/>
    <n v="97"/>
  </r>
  <r>
    <x v="0"/>
    <x v="3"/>
    <x v="0"/>
    <n v="1619"/>
  </r>
  <r>
    <x v="0"/>
    <x v="9"/>
    <x v="1"/>
    <n v="93"/>
  </r>
  <r>
    <x v="0"/>
    <x v="9"/>
    <x v="0"/>
    <n v="1509"/>
  </r>
  <r>
    <x v="0"/>
    <x v="4"/>
    <x v="0"/>
    <n v="1518"/>
  </r>
  <r>
    <x v="0"/>
    <x v="4"/>
    <x v="1"/>
    <n v="97"/>
  </r>
  <r>
    <x v="0"/>
    <x v="2"/>
    <x v="0"/>
    <n v="1645"/>
  </r>
  <r>
    <x v="0"/>
    <x v="2"/>
    <x v="1"/>
    <n v="114"/>
  </r>
  <r>
    <x v="0"/>
    <x v="5"/>
    <x v="0"/>
    <n v="1547"/>
  </r>
  <r>
    <x v="0"/>
    <x v="5"/>
    <x v="1"/>
    <n v="102"/>
  </r>
  <r>
    <x v="0"/>
    <x v="6"/>
    <x v="0"/>
    <n v="1555"/>
  </r>
  <r>
    <x v="0"/>
    <x v="6"/>
    <x v="1"/>
    <n v="103"/>
  </r>
  <r>
    <x v="0"/>
    <x v="10"/>
    <x v="1"/>
    <n v="100"/>
  </r>
  <r>
    <x v="0"/>
    <x v="10"/>
    <x v="0"/>
    <n v="1700"/>
  </r>
  <r>
    <x v="0"/>
    <x v="7"/>
    <x v="1"/>
    <n v="105"/>
  </r>
  <r>
    <x v="0"/>
    <x v="7"/>
    <x v="0"/>
    <n v="1490"/>
  </r>
  <r>
    <x v="0"/>
    <x v="8"/>
    <x v="1"/>
    <n v="113"/>
  </r>
  <r>
    <x v="0"/>
    <x v="8"/>
    <x v="0"/>
    <n v="1664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x v="0"/>
    <n v="94"/>
    <n v="1991"/>
  </r>
  <r>
    <x v="1"/>
    <x v="1"/>
    <n v="103"/>
    <n v="2252"/>
  </r>
  <r>
    <x v="1"/>
    <x v="2"/>
    <n v="98"/>
    <n v="2667"/>
  </r>
  <r>
    <x v="1"/>
    <x v="3"/>
    <n v="101"/>
    <n v="2270"/>
  </r>
  <r>
    <x v="1"/>
    <x v="4"/>
    <n v="104"/>
    <n v="2388"/>
  </r>
  <r>
    <x v="1"/>
    <x v="5"/>
    <n v="91"/>
    <n v="2320"/>
  </r>
  <r>
    <x v="1"/>
    <x v="6"/>
    <n v="90"/>
    <n v="1987"/>
  </r>
  <r>
    <x v="1"/>
    <x v="7"/>
    <n v="103"/>
    <n v="2106"/>
  </r>
  <r>
    <x v="1"/>
    <x v="8"/>
    <n v="118"/>
    <n v="2463"/>
  </r>
  <r>
    <x v="1"/>
    <x v="0"/>
    <n v="86"/>
    <n v="2168"/>
  </r>
  <r>
    <x v="1"/>
    <x v="9"/>
    <n v="77"/>
    <n v="2022"/>
  </r>
  <r>
    <x v="1"/>
    <x v="10"/>
    <n v="107"/>
    <n v="2359"/>
  </r>
  <r>
    <x v="1"/>
    <x v="11"/>
    <n v="109"/>
    <n v="2331"/>
  </r>
  <r>
    <x v="2"/>
    <x v="0"/>
    <n v="103"/>
    <n v="2004"/>
  </r>
  <r>
    <x v="2"/>
    <x v="6"/>
    <n v="92"/>
    <n v="1999"/>
  </r>
  <r>
    <x v="2"/>
    <x v="5"/>
    <n v="110"/>
    <n v="2346"/>
  </r>
  <r>
    <x v="2"/>
    <x v="9"/>
    <n v="104"/>
    <n v="2264"/>
  </r>
  <r>
    <x v="2"/>
    <x v="7"/>
    <n v="89"/>
    <n v="2157"/>
  </r>
  <r>
    <x v="2"/>
    <x v="8"/>
    <n v="88"/>
    <n v="2364"/>
  </r>
  <r>
    <x v="2"/>
    <x v="3"/>
    <n v="108"/>
    <n v="2372"/>
  </r>
  <r>
    <x v="2"/>
    <x v="2"/>
    <n v="96"/>
    <n v="2428"/>
  </r>
  <r>
    <x v="2"/>
    <x v="1"/>
    <n v="110"/>
    <n v="2467"/>
  </r>
  <r>
    <x v="2"/>
    <x v="10"/>
    <n v="103"/>
    <n v="2314"/>
  </r>
  <r>
    <x v="2"/>
    <x v="11"/>
    <n v="108"/>
    <n v="2325"/>
  </r>
  <r>
    <x v="2"/>
    <x v="4"/>
    <n v="110"/>
    <n v="2385"/>
  </r>
  <r>
    <x v="3"/>
    <x v="0"/>
    <n v="91"/>
    <n v="2114"/>
  </r>
  <r>
    <x v="3"/>
    <x v="6"/>
    <n v="103"/>
    <n v="2161"/>
  </r>
  <r>
    <x v="3"/>
    <x v="5"/>
    <n v="67"/>
    <n v="1781"/>
  </r>
  <r>
    <x v="3"/>
    <x v="7"/>
    <n v="124"/>
    <n v="1671"/>
  </r>
  <r>
    <x v="3"/>
    <x v="2"/>
    <n v="120"/>
    <n v="2268"/>
  </r>
  <r>
    <x v="3"/>
    <x v="10"/>
    <n v="119"/>
    <n v="2224"/>
  </r>
  <r>
    <x v="3"/>
    <x v="11"/>
    <n v="139"/>
    <n v="2044"/>
  </r>
  <r>
    <x v="3"/>
    <x v="4"/>
    <n v="112"/>
    <n v="1814"/>
  </r>
  <r>
    <x v="3"/>
    <x v="1"/>
    <n v="107"/>
    <n v="2067"/>
  </r>
  <r>
    <x v="3"/>
    <x v="3"/>
    <n v="125"/>
    <n v="1893"/>
  </r>
  <r>
    <x v="3"/>
    <x v="9"/>
    <n v="59"/>
    <n v="1310"/>
  </r>
  <r>
    <x v="3"/>
    <x v="8"/>
    <n v="100"/>
    <n v="1986"/>
  </r>
  <r>
    <x v="4"/>
    <x v="11"/>
    <n v="122"/>
    <n v="2394"/>
  </r>
  <r>
    <x v="4"/>
    <x v="7"/>
    <n v="126"/>
    <n v="2539"/>
  </r>
  <r>
    <x v="4"/>
    <x v="8"/>
    <n v="109"/>
    <n v="2474"/>
  </r>
  <r>
    <x v="4"/>
    <x v="10"/>
    <n v="117"/>
    <n v="2854"/>
  </r>
  <r>
    <x v="4"/>
    <x v="1"/>
    <n v="97"/>
    <n v="2567"/>
  </r>
  <r>
    <x v="4"/>
    <x v="0"/>
    <n v="113"/>
    <n v="1782"/>
  </r>
  <r>
    <x v="4"/>
    <x v="2"/>
    <n v="117"/>
    <n v="2557"/>
  </r>
  <r>
    <x v="4"/>
    <x v="3"/>
    <n v="122"/>
    <n v="2703"/>
  </r>
  <r>
    <x v="4"/>
    <x v="6"/>
    <n v="93"/>
    <n v="1768"/>
  </r>
  <r>
    <x v="4"/>
    <x v="5"/>
    <n v="117"/>
    <n v="2243"/>
  </r>
  <r>
    <x v="4"/>
    <x v="9"/>
    <n v="111"/>
    <n v="2271"/>
  </r>
  <r>
    <x v="4"/>
    <x v="4"/>
    <n v="100"/>
    <n v="2430"/>
  </r>
  <r>
    <x v="0"/>
    <x v="6"/>
    <n v="73"/>
    <n v="1992"/>
  </r>
  <r>
    <x v="0"/>
    <x v="5"/>
    <n v="109"/>
    <n v="2204"/>
  </r>
  <r>
    <x v="0"/>
    <x v="9"/>
    <n v="104"/>
    <n v="2346"/>
  </r>
  <r>
    <x v="0"/>
    <x v="7"/>
    <n v="100"/>
    <n v="2191"/>
  </r>
  <r>
    <x v="0"/>
    <x v="8"/>
    <n v="107"/>
    <n v="2206"/>
  </r>
  <r>
    <x v="0"/>
    <x v="3"/>
    <n v="132"/>
    <n v="2448"/>
  </r>
  <r>
    <x v="0"/>
    <x v="2"/>
    <n v="112"/>
    <n v="2255"/>
  </r>
  <r>
    <x v="0"/>
    <x v="1"/>
    <n v="110"/>
    <n v="2296"/>
  </r>
  <r>
    <x v="0"/>
    <x v="10"/>
    <n v="109"/>
    <n v="2442"/>
  </r>
  <r>
    <x v="0"/>
    <x v="11"/>
    <n v="121"/>
    <n v="2224"/>
  </r>
  <r>
    <x v="0"/>
    <x v="4"/>
    <n v="123"/>
    <n v="2372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65">
  <r>
    <x v="0"/>
    <x v="0"/>
    <x v="0"/>
    <n v="5"/>
  </r>
  <r>
    <x v="0"/>
    <x v="0"/>
    <x v="1"/>
    <n v="48"/>
  </r>
  <r>
    <x v="0"/>
    <x v="0"/>
    <x v="2"/>
    <n v="11"/>
  </r>
  <r>
    <x v="0"/>
    <x v="1"/>
    <x v="3"/>
    <n v="50"/>
  </r>
  <r>
    <x v="0"/>
    <x v="1"/>
    <x v="4"/>
    <n v="12"/>
  </r>
  <r>
    <x v="0"/>
    <x v="1"/>
    <x v="5"/>
    <n v="123"/>
  </r>
  <r>
    <x v="0"/>
    <x v="1"/>
    <x v="6"/>
    <n v="75"/>
  </r>
  <r>
    <x v="0"/>
    <x v="1"/>
    <x v="7"/>
    <n v="12"/>
  </r>
  <r>
    <x v="0"/>
    <x v="1"/>
    <x v="8"/>
    <n v="232"/>
  </r>
  <r>
    <x v="1"/>
    <x v="0"/>
    <x v="9"/>
    <n v="39"/>
  </r>
  <r>
    <x v="1"/>
    <x v="0"/>
    <x v="10"/>
    <n v="19"/>
  </r>
  <r>
    <x v="1"/>
    <x v="0"/>
    <x v="11"/>
    <n v="2"/>
  </r>
  <r>
    <x v="1"/>
    <x v="0"/>
    <x v="12"/>
    <n v="110"/>
  </r>
  <r>
    <x v="1"/>
    <x v="0"/>
    <x v="2"/>
    <n v="7"/>
  </r>
  <r>
    <x v="1"/>
    <x v="0"/>
    <x v="13"/>
    <n v="5"/>
  </r>
  <r>
    <x v="1"/>
    <x v="1"/>
    <x v="4"/>
    <n v="19"/>
  </r>
  <r>
    <x v="1"/>
    <x v="1"/>
    <x v="14"/>
    <n v="27"/>
  </r>
  <r>
    <x v="2"/>
    <x v="0"/>
    <x v="15"/>
    <n v="34"/>
  </r>
  <r>
    <x v="2"/>
    <x v="0"/>
    <x v="9"/>
    <n v="48"/>
  </r>
  <r>
    <x v="2"/>
    <x v="0"/>
    <x v="16"/>
    <n v="7"/>
  </r>
  <r>
    <x v="2"/>
    <x v="0"/>
    <x v="10"/>
    <n v="13"/>
  </r>
  <r>
    <x v="2"/>
    <x v="0"/>
    <x v="11"/>
    <n v="5"/>
  </r>
  <r>
    <x v="2"/>
    <x v="0"/>
    <x v="12"/>
    <n v="101"/>
  </r>
  <r>
    <x v="2"/>
    <x v="0"/>
    <x v="17"/>
    <n v="11"/>
  </r>
  <r>
    <x v="2"/>
    <x v="0"/>
    <x v="18"/>
    <n v="6"/>
  </r>
  <r>
    <x v="2"/>
    <x v="0"/>
    <x v="19"/>
    <n v="3"/>
  </r>
  <r>
    <x v="2"/>
    <x v="1"/>
    <x v="0"/>
    <n v="38"/>
  </r>
  <r>
    <x v="3"/>
    <x v="0"/>
    <x v="20"/>
    <n v="7"/>
  </r>
  <r>
    <x v="3"/>
    <x v="0"/>
    <x v="21"/>
    <n v="89"/>
  </r>
  <r>
    <x v="3"/>
    <x v="0"/>
    <x v="22"/>
    <n v="10"/>
  </r>
  <r>
    <x v="3"/>
    <x v="0"/>
    <x v="18"/>
    <n v="9"/>
  </r>
  <r>
    <x v="3"/>
    <x v="0"/>
    <x v="23"/>
    <n v="26"/>
  </r>
  <r>
    <x v="3"/>
    <x v="0"/>
    <x v="19"/>
    <n v="1"/>
  </r>
  <r>
    <x v="3"/>
    <x v="1"/>
    <x v="5"/>
    <n v="112"/>
  </r>
  <r>
    <x v="3"/>
    <x v="1"/>
    <x v="22"/>
    <n v="210"/>
  </r>
  <r>
    <x v="3"/>
    <x v="1"/>
    <x v="13"/>
    <n v="59"/>
  </r>
  <r>
    <x v="3"/>
    <x v="1"/>
    <x v="24"/>
    <n v="87"/>
  </r>
  <r>
    <x v="4"/>
    <x v="0"/>
    <x v="25"/>
    <n v="13"/>
  </r>
  <r>
    <x v="4"/>
    <x v="0"/>
    <x v="26"/>
    <n v="5"/>
  </r>
  <r>
    <x v="4"/>
    <x v="0"/>
    <x v="27"/>
    <n v="19"/>
  </r>
  <r>
    <x v="4"/>
    <x v="0"/>
    <x v="28"/>
    <n v="73"/>
  </r>
  <r>
    <x v="4"/>
    <x v="0"/>
    <x v="22"/>
    <n v="12"/>
  </r>
  <r>
    <x v="4"/>
    <x v="0"/>
    <x v="23"/>
    <n v="21"/>
  </r>
  <r>
    <x v="4"/>
    <x v="1"/>
    <x v="15"/>
    <n v="481"/>
  </r>
  <r>
    <x v="4"/>
    <x v="1"/>
    <x v="10"/>
    <n v="212"/>
  </r>
  <r>
    <x v="4"/>
    <x v="1"/>
    <x v="11"/>
    <n v="99"/>
  </r>
  <r>
    <x v="4"/>
    <x v="1"/>
    <x v="12"/>
    <n v="1307"/>
  </r>
  <r>
    <x v="4"/>
    <x v="1"/>
    <x v="17"/>
    <n v="169"/>
  </r>
  <r>
    <x v="4"/>
    <x v="1"/>
    <x v="22"/>
    <n v="283"/>
  </r>
  <r>
    <x v="4"/>
    <x v="1"/>
    <x v="29"/>
    <n v="183"/>
  </r>
  <r>
    <x v="4"/>
    <x v="1"/>
    <x v="14"/>
    <n v="37"/>
  </r>
  <r>
    <x v="4"/>
    <x v="1"/>
    <x v="13"/>
    <n v="78"/>
  </r>
  <r>
    <x v="4"/>
    <x v="1"/>
    <x v="24"/>
    <n v="131"/>
  </r>
  <r>
    <x v="0"/>
    <x v="0"/>
    <x v="30"/>
    <n v="3"/>
  </r>
  <r>
    <x v="0"/>
    <x v="0"/>
    <x v="5"/>
    <n v="3"/>
  </r>
  <r>
    <x v="0"/>
    <x v="0"/>
    <x v="31"/>
    <n v="3"/>
  </r>
  <r>
    <x v="0"/>
    <x v="0"/>
    <x v="7"/>
    <n v="1"/>
  </r>
  <r>
    <x v="0"/>
    <x v="0"/>
    <x v="26"/>
    <n v="3"/>
  </r>
  <r>
    <x v="0"/>
    <x v="0"/>
    <x v="32"/>
    <n v="3"/>
  </r>
  <r>
    <x v="0"/>
    <x v="0"/>
    <x v="27"/>
    <n v="19"/>
  </r>
  <r>
    <x v="0"/>
    <x v="0"/>
    <x v="20"/>
    <n v="12"/>
  </r>
  <r>
    <x v="0"/>
    <x v="0"/>
    <x v="33"/>
    <n v="8"/>
  </r>
  <r>
    <x v="0"/>
    <x v="0"/>
    <x v="18"/>
    <n v="4"/>
  </r>
  <r>
    <x v="0"/>
    <x v="0"/>
    <x v="19"/>
    <n v="4"/>
  </r>
  <r>
    <x v="0"/>
    <x v="1"/>
    <x v="31"/>
    <n v="21"/>
  </r>
  <r>
    <x v="0"/>
    <x v="1"/>
    <x v="34"/>
    <n v="4749"/>
  </r>
  <r>
    <x v="0"/>
    <x v="1"/>
    <x v="29"/>
    <n v="192"/>
  </r>
  <r>
    <x v="1"/>
    <x v="0"/>
    <x v="35"/>
    <n v="23"/>
  </r>
  <r>
    <x v="1"/>
    <x v="0"/>
    <x v="16"/>
    <n v="6"/>
  </r>
  <r>
    <x v="1"/>
    <x v="0"/>
    <x v="28"/>
    <n v="62"/>
  </r>
  <r>
    <x v="1"/>
    <x v="0"/>
    <x v="14"/>
    <n v="6"/>
  </r>
  <r>
    <x v="1"/>
    <x v="1"/>
    <x v="35"/>
    <n v="683"/>
  </r>
  <r>
    <x v="1"/>
    <x v="1"/>
    <x v="36"/>
    <n v="3"/>
  </r>
  <r>
    <x v="1"/>
    <x v="1"/>
    <x v="37"/>
    <n v="67"/>
  </r>
  <r>
    <x v="1"/>
    <x v="1"/>
    <x v="16"/>
    <n v="112"/>
  </r>
  <r>
    <x v="1"/>
    <x v="1"/>
    <x v="10"/>
    <n v="189"/>
  </r>
  <r>
    <x v="1"/>
    <x v="1"/>
    <x v="38"/>
    <n v="66"/>
  </r>
  <r>
    <x v="1"/>
    <x v="1"/>
    <x v="28"/>
    <n v="1188"/>
  </r>
  <r>
    <x v="1"/>
    <x v="1"/>
    <x v="12"/>
    <n v="1088"/>
  </r>
  <r>
    <x v="1"/>
    <x v="1"/>
    <x v="1"/>
    <n v="886"/>
  </r>
  <r>
    <x v="1"/>
    <x v="1"/>
    <x v="39"/>
    <n v="322"/>
  </r>
  <r>
    <x v="1"/>
    <x v="1"/>
    <x v="13"/>
    <n v="72"/>
  </r>
  <r>
    <x v="1"/>
    <x v="1"/>
    <x v="24"/>
    <n v="100"/>
  </r>
  <r>
    <x v="2"/>
    <x v="0"/>
    <x v="0"/>
    <n v="4"/>
  </r>
  <r>
    <x v="2"/>
    <x v="0"/>
    <x v="30"/>
    <n v="1"/>
  </r>
  <r>
    <x v="2"/>
    <x v="0"/>
    <x v="5"/>
    <n v="11"/>
  </r>
  <r>
    <x v="2"/>
    <x v="0"/>
    <x v="37"/>
    <n v="7"/>
  </r>
  <r>
    <x v="2"/>
    <x v="0"/>
    <x v="26"/>
    <n v="9"/>
  </r>
  <r>
    <x v="2"/>
    <x v="0"/>
    <x v="32"/>
    <n v="2"/>
  </r>
  <r>
    <x v="2"/>
    <x v="0"/>
    <x v="27"/>
    <n v="14"/>
  </r>
  <r>
    <x v="2"/>
    <x v="0"/>
    <x v="38"/>
    <n v="2"/>
  </r>
  <r>
    <x v="2"/>
    <x v="0"/>
    <x v="20"/>
    <n v="7"/>
  </r>
  <r>
    <x v="2"/>
    <x v="0"/>
    <x v="33"/>
    <n v="12"/>
  </r>
  <r>
    <x v="2"/>
    <x v="1"/>
    <x v="31"/>
    <n v="15"/>
  </r>
  <r>
    <x v="2"/>
    <x v="1"/>
    <x v="6"/>
    <n v="78"/>
  </r>
  <r>
    <x v="2"/>
    <x v="1"/>
    <x v="34"/>
    <n v="4784"/>
  </r>
  <r>
    <x v="2"/>
    <x v="1"/>
    <x v="27"/>
    <n v="287"/>
  </r>
  <r>
    <x v="2"/>
    <x v="1"/>
    <x v="33"/>
    <n v="87"/>
  </r>
  <r>
    <x v="2"/>
    <x v="1"/>
    <x v="40"/>
    <n v="7"/>
  </r>
  <r>
    <x v="3"/>
    <x v="0"/>
    <x v="15"/>
    <n v="43"/>
  </r>
  <r>
    <x v="3"/>
    <x v="0"/>
    <x v="34"/>
    <n v="207"/>
  </r>
  <r>
    <x v="3"/>
    <x v="0"/>
    <x v="28"/>
    <n v="66"/>
  </r>
  <r>
    <x v="3"/>
    <x v="0"/>
    <x v="41"/>
    <n v="54"/>
  </r>
  <r>
    <x v="3"/>
    <x v="0"/>
    <x v="17"/>
    <n v="5"/>
  </r>
  <r>
    <x v="3"/>
    <x v="0"/>
    <x v="2"/>
    <n v="12"/>
  </r>
  <r>
    <x v="3"/>
    <x v="0"/>
    <x v="14"/>
    <n v="1"/>
  </r>
  <r>
    <x v="3"/>
    <x v="1"/>
    <x v="4"/>
    <n v="25"/>
  </r>
  <r>
    <x v="3"/>
    <x v="1"/>
    <x v="9"/>
    <n v="496"/>
  </r>
  <r>
    <x v="3"/>
    <x v="1"/>
    <x v="10"/>
    <n v="201"/>
  </r>
  <r>
    <x v="3"/>
    <x v="1"/>
    <x v="28"/>
    <n v="885"/>
  </r>
  <r>
    <x v="3"/>
    <x v="1"/>
    <x v="12"/>
    <n v="939"/>
  </r>
  <r>
    <x v="3"/>
    <x v="1"/>
    <x v="41"/>
    <n v="436"/>
  </r>
  <r>
    <x v="3"/>
    <x v="1"/>
    <x v="23"/>
    <n v="331"/>
  </r>
  <r>
    <x v="4"/>
    <x v="0"/>
    <x v="0"/>
    <n v="8"/>
  </r>
  <r>
    <x v="4"/>
    <x v="0"/>
    <x v="37"/>
    <n v="8"/>
  </r>
  <r>
    <x v="4"/>
    <x v="0"/>
    <x v="11"/>
    <n v="2"/>
  </r>
  <r>
    <x v="4"/>
    <x v="0"/>
    <x v="38"/>
    <n v="4"/>
  </r>
  <r>
    <x v="4"/>
    <x v="1"/>
    <x v="25"/>
    <n v="138"/>
  </r>
  <r>
    <x v="4"/>
    <x v="1"/>
    <x v="6"/>
    <n v="89"/>
  </r>
  <r>
    <x v="4"/>
    <x v="1"/>
    <x v="27"/>
    <n v="242"/>
  </r>
  <r>
    <x v="4"/>
    <x v="1"/>
    <x v="21"/>
    <n v="1943"/>
  </r>
  <r>
    <x v="4"/>
    <x v="1"/>
    <x v="33"/>
    <n v="125"/>
  </r>
  <r>
    <x v="4"/>
    <x v="1"/>
    <x v="40"/>
    <n v="1"/>
  </r>
  <r>
    <x v="0"/>
    <x v="0"/>
    <x v="15"/>
    <n v="41"/>
  </r>
  <r>
    <x v="0"/>
    <x v="0"/>
    <x v="10"/>
    <n v="20"/>
  </r>
  <r>
    <x v="0"/>
    <x v="0"/>
    <x v="11"/>
    <n v="3"/>
  </r>
  <r>
    <x v="0"/>
    <x v="0"/>
    <x v="12"/>
    <n v="108"/>
  </r>
  <r>
    <x v="0"/>
    <x v="0"/>
    <x v="17"/>
    <n v="17"/>
  </r>
  <r>
    <x v="0"/>
    <x v="0"/>
    <x v="29"/>
    <n v="7"/>
  </r>
  <r>
    <x v="0"/>
    <x v="0"/>
    <x v="13"/>
    <n v="4"/>
  </r>
  <r>
    <x v="0"/>
    <x v="0"/>
    <x v="24"/>
    <n v="6"/>
  </r>
  <r>
    <x v="0"/>
    <x v="1"/>
    <x v="42"/>
    <n v="111"/>
  </r>
  <r>
    <x v="0"/>
    <x v="1"/>
    <x v="43"/>
    <n v="1025"/>
  </r>
  <r>
    <x v="0"/>
    <x v="1"/>
    <x v="44"/>
    <n v="288"/>
  </r>
  <r>
    <x v="0"/>
    <x v="1"/>
    <x v="45"/>
    <n v="367"/>
  </r>
  <r>
    <x v="1"/>
    <x v="0"/>
    <x v="15"/>
    <n v="30"/>
  </r>
  <r>
    <x v="1"/>
    <x v="0"/>
    <x v="1"/>
    <n v="37"/>
  </r>
  <r>
    <x v="1"/>
    <x v="0"/>
    <x v="17"/>
    <n v="11"/>
  </r>
  <r>
    <x v="1"/>
    <x v="0"/>
    <x v="18"/>
    <n v="5"/>
  </r>
  <r>
    <x v="1"/>
    <x v="0"/>
    <x v="23"/>
    <n v="23"/>
  </r>
  <r>
    <x v="1"/>
    <x v="0"/>
    <x v="19"/>
    <n v="3"/>
  </r>
  <r>
    <x v="1"/>
    <x v="1"/>
    <x v="5"/>
    <n v="146"/>
  </r>
  <r>
    <x v="1"/>
    <x v="1"/>
    <x v="6"/>
    <n v="59"/>
  </r>
  <r>
    <x v="1"/>
    <x v="1"/>
    <x v="7"/>
    <n v="12"/>
  </r>
  <r>
    <x v="1"/>
    <x v="1"/>
    <x v="44"/>
    <n v="325"/>
  </r>
  <r>
    <x v="2"/>
    <x v="0"/>
    <x v="2"/>
    <n v="5"/>
  </r>
  <r>
    <x v="2"/>
    <x v="0"/>
    <x v="22"/>
    <n v="9"/>
  </r>
  <r>
    <x v="2"/>
    <x v="0"/>
    <x v="23"/>
    <n v="13"/>
  </r>
  <r>
    <x v="2"/>
    <x v="1"/>
    <x v="4"/>
    <n v="19"/>
  </r>
  <r>
    <x v="2"/>
    <x v="1"/>
    <x v="5"/>
    <n v="103"/>
  </r>
  <r>
    <x v="2"/>
    <x v="1"/>
    <x v="7"/>
    <n v="15"/>
  </r>
  <r>
    <x v="2"/>
    <x v="1"/>
    <x v="29"/>
    <n v="206"/>
  </r>
  <r>
    <x v="2"/>
    <x v="1"/>
    <x v="14"/>
    <n v="32"/>
  </r>
  <r>
    <x v="2"/>
    <x v="1"/>
    <x v="24"/>
    <n v="91"/>
  </r>
  <r>
    <x v="3"/>
    <x v="0"/>
    <x v="25"/>
    <n v="11"/>
  </r>
  <r>
    <x v="3"/>
    <x v="0"/>
    <x v="9"/>
    <n v="59"/>
  </r>
  <r>
    <x v="3"/>
    <x v="1"/>
    <x v="0"/>
    <n v="33"/>
  </r>
  <r>
    <x v="3"/>
    <x v="1"/>
    <x v="16"/>
    <n v="85"/>
  </r>
  <r>
    <x v="3"/>
    <x v="1"/>
    <x v="1"/>
    <n v="774"/>
  </r>
  <r>
    <x v="3"/>
    <x v="1"/>
    <x v="29"/>
    <n v="156"/>
  </r>
  <r>
    <x v="3"/>
    <x v="1"/>
    <x v="14"/>
    <n v="48"/>
  </r>
  <r>
    <x v="4"/>
    <x v="0"/>
    <x v="30"/>
    <n v="4"/>
  </r>
  <r>
    <x v="4"/>
    <x v="0"/>
    <x v="46"/>
    <n v="29"/>
  </r>
  <r>
    <x v="4"/>
    <x v="0"/>
    <x v="9"/>
    <n v="58"/>
  </r>
  <r>
    <x v="4"/>
    <x v="0"/>
    <x v="16"/>
    <n v="2"/>
  </r>
  <r>
    <x v="4"/>
    <x v="0"/>
    <x v="32"/>
    <n v="1"/>
  </r>
  <r>
    <x v="4"/>
    <x v="0"/>
    <x v="20"/>
    <n v="9"/>
  </r>
  <r>
    <x v="4"/>
    <x v="0"/>
    <x v="21"/>
    <n v="102"/>
  </r>
  <r>
    <x v="4"/>
    <x v="0"/>
    <x v="33"/>
    <n v="10"/>
  </r>
  <r>
    <x v="4"/>
    <x v="0"/>
    <x v="18"/>
    <n v="4"/>
  </r>
  <r>
    <x v="4"/>
    <x v="0"/>
    <x v="19"/>
    <n v="3"/>
  </r>
  <r>
    <x v="4"/>
    <x v="1"/>
    <x v="0"/>
    <n v="42"/>
  </r>
  <r>
    <x v="4"/>
    <x v="1"/>
    <x v="16"/>
    <n v="92"/>
  </r>
  <r>
    <x v="4"/>
    <x v="1"/>
    <x v="1"/>
    <n v="915"/>
  </r>
  <r>
    <x v="4"/>
    <x v="1"/>
    <x v="2"/>
    <n v="229"/>
  </r>
  <r>
    <x v="0"/>
    <x v="0"/>
    <x v="34"/>
    <n v="205"/>
  </r>
  <r>
    <x v="0"/>
    <x v="0"/>
    <x v="47"/>
    <n v="4"/>
  </r>
  <r>
    <x v="0"/>
    <x v="0"/>
    <x v="48"/>
    <n v="3"/>
  </r>
  <r>
    <x v="0"/>
    <x v="0"/>
    <x v="41"/>
    <n v="39"/>
  </r>
  <r>
    <x v="0"/>
    <x v="0"/>
    <x v="49"/>
    <n v="39"/>
  </r>
  <r>
    <x v="0"/>
    <x v="0"/>
    <x v="8"/>
    <n v="15"/>
  </r>
  <r>
    <x v="0"/>
    <x v="0"/>
    <x v="44"/>
    <n v="17"/>
  </r>
  <r>
    <x v="0"/>
    <x v="0"/>
    <x v="50"/>
    <n v="3"/>
  </r>
  <r>
    <x v="0"/>
    <x v="1"/>
    <x v="9"/>
    <n v="431"/>
  </r>
  <r>
    <x v="0"/>
    <x v="1"/>
    <x v="47"/>
    <n v="24"/>
  </r>
  <r>
    <x v="0"/>
    <x v="1"/>
    <x v="28"/>
    <n v="1287"/>
  </r>
  <r>
    <x v="0"/>
    <x v="1"/>
    <x v="20"/>
    <n v="130"/>
  </r>
  <r>
    <x v="0"/>
    <x v="1"/>
    <x v="48"/>
    <n v="18"/>
  </r>
  <r>
    <x v="0"/>
    <x v="1"/>
    <x v="41"/>
    <n v="405"/>
  </r>
  <r>
    <x v="0"/>
    <x v="1"/>
    <x v="18"/>
    <n v="46"/>
  </r>
  <r>
    <x v="0"/>
    <x v="1"/>
    <x v="23"/>
    <n v="376"/>
  </r>
  <r>
    <x v="0"/>
    <x v="1"/>
    <x v="19"/>
    <n v="31"/>
  </r>
  <r>
    <x v="1"/>
    <x v="0"/>
    <x v="42"/>
    <n v="8"/>
  </r>
  <r>
    <x v="1"/>
    <x v="0"/>
    <x v="37"/>
    <n v="8"/>
  </r>
  <r>
    <x v="1"/>
    <x v="0"/>
    <x v="51"/>
    <n v="2"/>
  </r>
  <r>
    <x v="1"/>
    <x v="0"/>
    <x v="38"/>
    <n v="5"/>
  </r>
  <r>
    <x v="1"/>
    <x v="0"/>
    <x v="52"/>
    <n v="3"/>
  </r>
  <r>
    <x v="1"/>
    <x v="0"/>
    <x v="53"/>
    <n v="3"/>
  </r>
  <r>
    <x v="1"/>
    <x v="1"/>
    <x v="25"/>
    <n v="138"/>
  </r>
  <r>
    <x v="1"/>
    <x v="1"/>
    <x v="46"/>
    <n v="457"/>
  </r>
  <r>
    <x v="1"/>
    <x v="1"/>
    <x v="21"/>
    <n v="1684"/>
  </r>
  <r>
    <x v="2"/>
    <x v="0"/>
    <x v="35"/>
    <n v="28"/>
  </r>
  <r>
    <x v="2"/>
    <x v="0"/>
    <x v="54"/>
    <n v="1"/>
  </r>
  <r>
    <x v="2"/>
    <x v="0"/>
    <x v="6"/>
    <n v="6"/>
  </r>
  <r>
    <x v="2"/>
    <x v="0"/>
    <x v="55"/>
    <n v="9"/>
  </r>
  <r>
    <x v="2"/>
    <x v="0"/>
    <x v="39"/>
    <n v="4"/>
  </r>
  <r>
    <x v="2"/>
    <x v="0"/>
    <x v="49"/>
    <n v="34"/>
  </r>
  <r>
    <x v="2"/>
    <x v="0"/>
    <x v="8"/>
    <n v="12"/>
  </r>
  <r>
    <x v="2"/>
    <x v="0"/>
    <x v="44"/>
    <n v="11"/>
  </r>
  <r>
    <x v="2"/>
    <x v="1"/>
    <x v="36"/>
    <n v="4"/>
  </r>
  <r>
    <x v="2"/>
    <x v="1"/>
    <x v="30"/>
    <n v="21"/>
  </r>
  <r>
    <x v="2"/>
    <x v="1"/>
    <x v="26"/>
    <n v="73"/>
  </r>
  <r>
    <x v="2"/>
    <x v="1"/>
    <x v="32"/>
    <n v="7"/>
  </r>
  <r>
    <x v="2"/>
    <x v="1"/>
    <x v="20"/>
    <n v="180"/>
  </r>
  <r>
    <x v="2"/>
    <x v="1"/>
    <x v="48"/>
    <n v="30"/>
  </r>
  <r>
    <x v="2"/>
    <x v="1"/>
    <x v="39"/>
    <n v="359"/>
  </r>
  <r>
    <x v="2"/>
    <x v="1"/>
    <x v="41"/>
    <n v="478"/>
  </r>
  <r>
    <x v="2"/>
    <x v="1"/>
    <x v="56"/>
    <n v="240"/>
  </r>
  <r>
    <x v="3"/>
    <x v="0"/>
    <x v="4"/>
    <n v="2"/>
  </r>
  <r>
    <x v="3"/>
    <x v="0"/>
    <x v="5"/>
    <n v="11"/>
  </r>
  <r>
    <x v="3"/>
    <x v="0"/>
    <x v="31"/>
    <n v="1"/>
  </r>
  <r>
    <x v="3"/>
    <x v="0"/>
    <x v="42"/>
    <n v="7"/>
  </r>
  <r>
    <x v="3"/>
    <x v="0"/>
    <x v="7"/>
    <n v="4"/>
  </r>
  <r>
    <x v="3"/>
    <x v="1"/>
    <x v="25"/>
    <n v="123"/>
  </r>
  <r>
    <x v="3"/>
    <x v="1"/>
    <x v="46"/>
    <n v="365"/>
  </r>
  <r>
    <x v="3"/>
    <x v="1"/>
    <x v="31"/>
    <n v="18"/>
  </r>
  <r>
    <x v="3"/>
    <x v="1"/>
    <x v="34"/>
    <n v="3926"/>
  </r>
  <r>
    <x v="3"/>
    <x v="1"/>
    <x v="57"/>
    <n v="8"/>
  </r>
  <r>
    <x v="3"/>
    <x v="1"/>
    <x v="21"/>
    <n v="1538"/>
  </r>
  <r>
    <x v="3"/>
    <x v="1"/>
    <x v="50"/>
    <n v="64"/>
  </r>
  <r>
    <x v="4"/>
    <x v="0"/>
    <x v="35"/>
    <n v="33"/>
  </r>
  <r>
    <x v="4"/>
    <x v="0"/>
    <x v="54"/>
    <n v="1"/>
  </r>
  <r>
    <x v="4"/>
    <x v="0"/>
    <x v="6"/>
    <n v="4"/>
  </r>
  <r>
    <x v="4"/>
    <x v="0"/>
    <x v="55"/>
    <n v="8"/>
  </r>
  <r>
    <x v="4"/>
    <x v="0"/>
    <x v="39"/>
    <n v="7"/>
  </r>
  <r>
    <x v="4"/>
    <x v="0"/>
    <x v="14"/>
    <n v="8"/>
  </r>
  <r>
    <x v="4"/>
    <x v="0"/>
    <x v="44"/>
    <n v="18"/>
  </r>
  <r>
    <x v="4"/>
    <x v="1"/>
    <x v="35"/>
    <n v="621"/>
  </r>
  <r>
    <x v="4"/>
    <x v="1"/>
    <x v="36"/>
    <n v="3"/>
  </r>
  <r>
    <x v="4"/>
    <x v="1"/>
    <x v="30"/>
    <n v="33"/>
  </r>
  <r>
    <x v="4"/>
    <x v="1"/>
    <x v="37"/>
    <n v="67"/>
  </r>
  <r>
    <x v="4"/>
    <x v="1"/>
    <x v="54"/>
    <n v="16"/>
  </r>
  <r>
    <x v="4"/>
    <x v="1"/>
    <x v="51"/>
    <n v="64"/>
  </r>
  <r>
    <x v="4"/>
    <x v="1"/>
    <x v="55"/>
    <n v="123"/>
  </r>
  <r>
    <x v="4"/>
    <x v="1"/>
    <x v="26"/>
    <n v="75"/>
  </r>
  <r>
    <x v="4"/>
    <x v="1"/>
    <x v="32"/>
    <n v="7"/>
  </r>
  <r>
    <x v="4"/>
    <x v="1"/>
    <x v="38"/>
    <n v="88"/>
  </r>
  <r>
    <x v="4"/>
    <x v="1"/>
    <x v="52"/>
    <n v="42"/>
  </r>
  <r>
    <x v="4"/>
    <x v="1"/>
    <x v="39"/>
    <n v="316"/>
  </r>
  <r>
    <x v="4"/>
    <x v="1"/>
    <x v="53"/>
    <n v="17"/>
  </r>
  <r>
    <x v="4"/>
    <x v="1"/>
    <x v="56"/>
    <n v="275"/>
  </r>
  <r>
    <x v="0"/>
    <x v="0"/>
    <x v="36"/>
    <n v="2"/>
  </r>
  <r>
    <x v="0"/>
    <x v="0"/>
    <x v="42"/>
    <n v="14"/>
  </r>
  <r>
    <x v="0"/>
    <x v="0"/>
    <x v="37"/>
    <n v="5"/>
  </r>
  <r>
    <x v="0"/>
    <x v="0"/>
    <x v="51"/>
    <n v="6"/>
  </r>
  <r>
    <x v="0"/>
    <x v="0"/>
    <x v="38"/>
    <n v="5"/>
  </r>
  <r>
    <x v="0"/>
    <x v="0"/>
    <x v="52"/>
    <n v="1"/>
  </r>
  <r>
    <x v="0"/>
    <x v="0"/>
    <x v="53"/>
    <n v="2"/>
  </r>
  <r>
    <x v="0"/>
    <x v="1"/>
    <x v="25"/>
    <n v="120"/>
  </r>
  <r>
    <x v="0"/>
    <x v="1"/>
    <x v="27"/>
    <n v="237"/>
  </r>
  <r>
    <x v="0"/>
    <x v="1"/>
    <x v="21"/>
    <n v="1653"/>
  </r>
  <r>
    <x v="0"/>
    <x v="1"/>
    <x v="33"/>
    <n v="117"/>
  </r>
  <r>
    <x v="0"/>
    <x v="1"/>
    <x v="40"/>
    <n v="3"/>
  </r>
  <r>
    <x v="1"/>
    <x v="0"/>
    <x v="6"/>
    <n v="8"/>
  </r>
  <r>
    <x v="1"/>
    <x v="0"/>
    <x v="34"/>
    <n v="217"/>
  </r>
  <r>
    <x v="1"/>
    <x v="0"/>
    <x v="48"/>
    <n v="1"/>
  </r>
  <r>
    <x v="1"/>
    <x v="0"/>
    <x v="39"/>
    <n v="4"/>
  </r>
  <r>
    <x v="1"/>
    <x v="0"/>
    <x v="41"/>
    <n v="35"/>
  </r>
  <r>
    <x v="1"/>
    <x v="0"/>
    <x v="49"/>
    <n v="29"/>
  </r>
  <r>
    <x v="1"/>
    <x v="0"/>
    <x v="8"/>
    <n v="24"/>
  </r>
  <r>
    <x v="1"/>
    <x v="0"/>
    <x v="44"/>
    <n v="10"/>
  </r>
  <r>
    <x v="1"/>
    <x v="1"/>
    <x v="30"/>
    <n v="16"/>
  </r>
  <r>
    <x v="1"/>
    <x v="1"/>
    <x v="9"/>
    <n v="439"/>
  </r>
  <r>
    <x v="1"/>
    <x v="1"/>
    <x v="47"/>
    <n v="9"/>
  </r>
  <r>
    <x v="1"/>
    <x v="1"/>
    <x v="26"/>
    <n v="80"/>
  </r>
  <r>
    <x v="1"/>
    <x v="1"/>
    <x v="32"/>
    <n v="15"/>
  </r>
  <r>
    <x v="1"/>
    <x v="1"/>
    <x v="20"/>
    <n v="167"/>
  </r>
  <r>
    <x v="1"/>
    <x v="1"/>
    <x v="48"/>
    <n v="27"/>
  </r>
  <r>
    <x v="1"/>
    <x v="1"/>
    <x v="41"/>
    <n v="423"/>
  </r>
  <r>
    <x v="1"/>
    <x v="1"/>
    <x v="18"/>
    <n v="39"/>
  </r>
  <r>
    <x v="1"/>
    <x v="1"/>
    <x v="56"/>
    <n v="230"/>
  </r>
  <r>
    <x v="1"/>
    <x v="1"/>
    <x v="23"/>
    <n v="366"/>
  </r>
  <r>
    <x v="1"/>
    <x v="1"/>
    <x v="19"/>
    <n v="44"/>
  </r>
  <r>
    <x v="2"/>
    <x v="0"/>
    <x v="4"/>
    <n v="1"/>
  </r>
  <r>
    <x v="2"/>
    <x v="0"/>
    <x v="31"/>
    <n v="1"/>
  </r>
  <r>
    <x v="2"/>
    <x v="0"/>
    <x v="42"/>
    <n v="14"/>
  </r>
  <r>
    <x v="2"/>
    <x v="0"/>
    <x v="51"/>
    <n v="5"/>
  </r>
  <r>
    <x v="2"/>
    <x v="0"/>
    <x v="53"/>
    <n v="3"/>
  </r>
  <r>
    <x v="2"/>
    <x v="1"/>
    <x v="25"/>
    <n v="143"/>
  </r>
  <r>
    <x v="2"/>
    <x v="1"/>
    <x v="46"/>
    <n v="492"/>
  </r>
  <r>
    <x v="2"/>
    <x v="1"/>
    <x v="57"/>
    <n v="4"/>
  </r>
  <r>
    <x v="2"/>
    <x v="1"/>
    <x v="21"/>
    <n v="1714"/>
  </r>
  <r>
    <x v="2"/>
    <x v="1"/>
    <x v="50"/>
    <n v="65"/>
  </r>
  <r>
    <x v="3"/>
    <x v="0"/>
    <x v="35"/>
    <n v="28"/>
  </r>
  <r>
    <x v="3"/>
    <x v="0"/>
    <x v="54"/>
    <n v="1"/>
  </r>
  <r>
    <x v="3"/>
    <x v="0"/>
    <x v="6"/>
    <n v="4"/>
  </r>
  <r>
    <x v="3"/>
    <x v="0"/>
    <x v="55"/>
    <n v="9"/>
  </r>
  <r>
    <x v="3"/>
    <x v="0"/>
    <x v="39"/>
    <n v="4"/>
  </r>
  <r>
    <x v="3"/>
    <x v="0"/>
    <x v="8"/>
    <n v="8"/>
  </r>
  <r>
    <x v="3"/>
    <x v="0"/>
    <x v="44"/>
    <n v="6"/>
  </r>
  <r>
    <x v="3"/>
    <x v="1"/>
    <x v="35"/>
    <n v="493"/>
  </r>
  <r>
    <x v="3"/>
    <x v="1"/>
    <x v="36"/>
    <n v="2"/>
  </r>
  <r>
    <x v="3"/>
    <x v="1"/>
    <x v="30"/>
    <n v="17"/>
  </r>
  <r>
    <x v="3"/>
    <x v="1"/>
    <x v="37"/>
    <n v="49"/>
  </r>
  <r>
    <x v="3"/>
    <x v="1"/>
    <x v="54"/>
    <n v="16"/>
  </r>
  <r>
    <x v="3"/>
    <x v="1"/>
    <x v="55"/>
    <n v="86"/>
  </r>
  <r>
    <x v="3"/>
    <x v="1"/>
    <x v="26"/>
    <n v="70"/>
  </r>
  <r>
    <x v="3"/>
    <x v="1"/>
    <x v="32"/>
    <n v="6"/>
  </r>
  <r>
    <x v="3"/>
    <x v="1"/>
    <x v="38"/>
    <n v="58"/>
  </r>
  <r>
    <x v="3"/>
    <x v="1"/>
    <x v="20"/>
    <n v="187"/>
  </r>
  <r>
    <x v="3"/>
    <x v="1"/>
    <x v="48"/>
    <n v="17"/>
  </r>
  <r>
    <x v="3"/>
    <x v="1"/>
    <x v="52"/>
    <n v="29"/>
  </r>
  <r>
    <x v="3"/>
    <x v="1"/>
    <x v="39"/>
    <n v="265"/>
  </r>
  <r>
    <x v="3"/>
    <x v="1"/>
    <x v="56"/>
    <n v="225"/>
  </r>
  <r>
    <x v="4"/>
    <x v="0"/>
    <x v="3"/>
    <n v="5"/>
  </r>
  <r>
    <x v="4"/>
    <x v="0"/>
    <x v="5"/>
    <n v="13"/>
  </r>
  <r>
    <x v="4"/>
    <x v="0"/>
    <x v="31"/>
    <n v="1"/>
  </r>
  <r>
    <x v="4"/>
    <x v="0"/>
    <x v="7"/>
    <n v="2"/>
  </r>
  <r>
    <x v="4"/>
    <x v="0"/>
    <x v="43"/>
    <n v="112"/>
  </r>
  <r>
    <x v="4"/>
    <x v="0"/>
    <x v="45"/>
    <n v="42"/>
  </r>
  <r>
    <x v="4"/>
    <x v="1"/>
    <x v="46"/>
    <n v="409"/>
  </r>
  <r>
    <x v="4"/>
    <x v="1"/>
    <x v="31"/>
    <n v="23"/>
  </r>
  <r>
    <x v="4"/>
    <x v="1"/>
    <x v="34"/>
    <n v="4462"/>
  </r>
  <r>
    <x v="4"/>
    <x v="1"/>
    <x v="57"/>
    <n v="8"/>
  </r>
  <r>
    <x v="4"/>
    <x v="1"/>
    <x v="49"/>
    <n v="698"/>
  </r>
  <r>
    <x v="4"/>
    <x v="1"/>
    <x v="50"/>
    <n v="46"/>
  </r>
  <r>
    <x v="0"/>
    <x v="0"/>
    <x v="25"/>
    <n v="17"/>
  </r>
  <r>
    <x v="0"/>
    <x v="0"/>
    <x v="46"/>
    <n v="21"/>
  </r>
  <r>
    <x v="0"/>
    <x v="0"/>
    <x v="54"/>
    <n v="1"/>
  </r>
  <r>
    <x v="0"/>
    <x v="0"/>
    <x v="6"/>
    <n v="7"/>
  </r>
  <r>
    <x v="0"/>
    <x v="0"/>
    <x v="55"/>
    <n v="6"/>
  </r>
  <r>
    <x v="0"/>
    <x v="0"/>
    <x v="21"/>
    <n v="75"/>
  </r>
  <r>
    <x v="0"/>
    <x v="1"/>
    <x v="15"/>
    <n v="303"/>
  </r>
  <r>
    <x v="0"/>
    <x v="1"/>
    <x v="54"/>
    <n v="9"/>
  </r>
  <r>
    <x v="0"/>
    <x v="1"/>
    <x v="51"/>
    <n v="66"/>
  </r>
  <r>
    <x v="0"/>
    <x v="1"/>
    <x v="55"/>
    <n v="101"/>
  </r>
  <r>
    <x v="0"/>
    <x v="1"/>
    <x v="52"/>
    <n v="31"/>
  </r>
  <r>
    <x v="0"/>
    <x v="1"/>
    <x v="17"/>
    <n v="160"/>
  </r>
  <r>
    <x v="0"/>
    <x v="1"/>
    <x v="2"/>
    <n v="291"/>
  </r>
  <r>
    <x v="0"/>
    <x v="1"/>
    <x v="14"/>
    <n v="37"/>
  </r>
  <r>
    <x v="0"/>
    <x v="1"/>
    <x v="53"/>
    <n v="21"/>
  </r>
  <r>
    <x v="0"/>
    <x v="1"/>
    <x v="56"/>
    <n v="199"/>
  </r>
  <r>
    <x v="1"/>
    <x v="0"/>
    <x v="3"/>
    <n v="5"/>
  </r>
  <r>
    <x v="1"/>
    <x v="0"/>
    <x v="4"/>
    <n v="2"/>
  </r>
  <r>
    <x v="1"/>
    <x v="0"/>
    <x v="43"/>
    <n v="80"/>
  </r>
  <r>
    <x v="1"/>
    <x v="0"/>
    <x v="22"/>
    <n v="6"/>
  </r>
  <r>
    <x v="1"/>
    <x v="0"/>
    <x v="29"/>
    <n v="10"/>
  </r>
  <r>
    <x v="1"/>
    <x v="0"/>
    <x v="45"/>
    <n v="33"/>
  </r>
  <r>
    <x v="1"/>
    <x v="0"/>
    <x v="56"/>
    <n v="20"/>
  </r>
  <r>
    <x v="1"/>
    <x v="1"/>
    <x v="0"/>
    <n v="28"/>
  </r>
  <r>
    <x v="1"/>
    <x v="1"/>
    <x v="3"/>
    <n v="35"/>
  </r>
  <r>
    <x v="1"/>
    <x v="1"/>
    <x v="57"/>
    <n v="6"/>
  </r>
  <r>
    <x v="1"/>
    <x v="1"/>
    <x v="11"/>
    <n v="124"/>
  </r>
  <r>
    <x v="1"/>
    <x v="1"/>
    <x v="43"/>
    <n v="1154"/>
  </r>
  <r>
    <x v="1"/>
    <x v="1"/>
    <x v="22"/>
    <n v="201"/>
  </r>
  <r>
    <x v="1"/>
    <x v="1"/>
    <x v="49"/>
    <n v="769"/>
  </r>
  <r>
    <x v="1"/>
    <x v="1"/>
    <x v="8"/>
    <n v="221"/>
  </r>
  <r>
    <x v="1"/>
    <x v="1"/>
    <x v="45"/>
    <n v="348"/>
  </r>
  <r>
    <x v="1"/>
    <x v="1"/>
    <x v="50"/>
    <n v="44"/>
  </r>
  <r>
    <x v="2"/>
    <x v="0"/>
    <x v="25"/>
    <n v="9"/>
  </r>
  <r>
    <x v="2"/>
    <x v="0"/>
    <x v="46"/>
    <n v="27"/>
  </r>
  <r>
    <x v="2"/>
    <x v="0"/>
    <x v="47"/>
    <n v="2"/>
  </r>
  <r>
    <x v="2"/>
    <x v="0"/>
    <x v="48"/>
    <n v="1"/>
  </r>
  <r>
    <x v="2"/>
    <x v="0"/>
    <x v="1"/>
    <n v="48"/>
  </r>
  <r>
    <x v="2"/>
    <x v="0"/>
    <x v="21"/>
    <n v="80"/>
  </r>
  <r>
    <x v="2"/>
    <x v="0"/>
    <x v="13"/>
    <n v="6"/>
  </r>
  <r>
    <x v="2"/>
    <x v="0"/>
    <x v="50"/>
    <n v="5"/>
  </r>
  <r>
    <x v="2"/>
    <x v="0"/>
    <x v="24"/>
    <n v="8"/>
  </r>
  <r>
    <x v="2"/>
    <x v="1"/>
    <x v="15"/>
    <n v="305"/>
  </r>
  <r>
    <x v="2"/>
    <x v="1"/>
    <x v="42"/>
    <n v="100"/>
  </r>
  <r>
    <x v="2"/>
    <x v="1"/>
    <x v="54"/>
    <n v="10"/>
  </r>
  <r>
    <x v="2"/>
    <x v="1"/>
    <x v="51"/>
    <n v="55"/>
  </r>
  <r>
    <x v="2"/>
    <x v="1"/>
    <x v="55"/>
    <n v="100"/>
  </r>
  <r>
    <x v="2"/>
    <x v="1"/>
    <x v="47"/>
    <n v="8"/>
  </r>
  <r>
    <x v="2"/>
    <x v="1"/>
    <x v="52"/>
    <n v="28"/>
  </r>
  <r>
    <x v="2"/>
    <x v="1"/>
    <x v="17"/>
    <n v="137"/>
  </r>
  <r>
    <x v="2"/>
    <x v="1"/>
    <x v="2"/>
    <n v="305"/>
  </r>
  <r>
    <x v="2"/>
    <x v="1"/>
    <x v="18"/>
    <n v="45"/>
  </r>
  <r>
    <x v="2"/>
    <x v="1"/>
    <x v="53"/>
    <n v="14"/>
  </r>
  <r>
    <x v="2"/>
    <x v="1"/>
    <x v="19"/>
    <n v="41"/>
  </r>
  <r>
    <x v="3"/>
    <x v="0"/>
    <x v="3"/>
    <n v="2"/>
  </r>
  <r>
    <x v="3"/>
    <x v="0"/>
    <x v="51"/>
    <n v="3"/>
  </r>
  <r>
    <x v="3"/>
    <x v="0"/>
    <x v="52"/>
    <n v="4"/>
  </r>
  <r>
    <x v="3"/>
    <x v="0"/>
    <x v="43"/>
    <n v="81"/>
  </r>
  <r>
    <x v="3"/>
    <x v="0"/>
    <x v="29"/>
    <n v="7"/>
  </r>
  <r>
    <x v="3"/>
    <x v="0"/>
    <x v="45"/>
    <n v="26"/>
  </r>
  <r>
    <x v="3"/>
    <x v="0"/>
    <x v="53"/>
    <n v="2"/>
  </r>
  <r>
    <x v="3"/>
    <x v="0"/>
    <x v="56"/>
    <n v="35"/>
  </r>
  <r>
    <x v="3"/>
    <x v="1"/>
    <x v="3"/>
    <n v="45"/>
  </r>
  <r>
    <x v="3"/>
    <x v="1"/>
    <x v="11"/>
    <n v="89"/>
  </r>
  <r>
    <x v="3"/>
    <x v="1"/>
    <x v="43"/>
    <n v="1037"/>
  </r>
  <r>
    <x v="3"/>
    <x v="1"/>
    <x v="49"/>
    <n v="574"/>
  </r>
  <r>
    <x v="3"/>
    <x v="1"/>
    <x v="8"/>
    <n v="172"/>
  </r>
  <r>
    <x v="3"/>
    <x v="1"/>
    <x v="44"/>
    <n v="260"/>
  </r>
  <r>
    <x v="3"/>
    <x v="1"/>
    <x v="45"/>
    <n v="336"/>
  </r>
  <r>
    <x v="4"/>
    <x v="0"/>
    <x v="10"/>
    <n v="21"/>
  </r>
  <r>
    <x v="4"/>
    <x v="0"/>
    <x v="57"/>
    <n v="1"/>
  </r>
  <r>
    <x v="4"/>
    <x v="0"/>
    <x v="48"/>
    <n v="1"/>
  </r>
  <r>
    <x v="4"/>
    <x v="0"/>
    <x v="12"/>
    <n v="100"/>
  </r>
  <r>
    <x v="4"/>
    <x v="0"/>
    <x v="1"/>
    <n v="58"/>
  </r>
  <r>
    <x v="4"/>
    <x v="0"/>
    <x v="49"/>
    <n v="39"/>
  </r>
  <r>
    <x v="4"/>
    <x v="0"/>
    <x v="8"/>
    <n v="10"/>
  </r>
  <r>
    <x v="4"/>
    <x v="0"/>
    <x v="13"/>
    <n v="5"/>
  </r>
  <r>
    <x v="4"/>
    <x v="0"/>
    <x v="50"/>
    <n v="6"/>
  </r>
  <r>
    <x v="4"/>
    <x v="0"/>
    <x v="24"/>
    <n v="10"/>
  </r>
  <r>
    <x v="4"/>
    <x v="1"/>
    <x v="5"/>
    <n v="114"/>
  </r>
  <r>
    <x v="4"/>
    <x v="1"/>
    <x v="42"/>
    <n v="89"/>
  </r>
  <r>
    <x v="4"/>
    <x v="1"/>
    <x v="7"/>
    <n v="16"/>
  </r>
  <r>
    <x v="4"/>
    <x v="1"/>
    <x v="47"/>
    <n v="10"/>
  </r>
  <r>
    <x v="4"/>
    <x v="1"/>
    <x v="20"/>
    <n v="219"/>
  </r>
  <r>
    <x v="4"/>
    <x v="1"/>
    <x v="48"/>
    <n v="22"/>
  </r>
  <r>
    <x v="4"/>
    <x v="1"/>
    <x v="18"/>
    <n v="43"/>
  </r>
  <r>
    <x v="4"/>
    <x v="1"/>
    <x v="19"/>
    <n v="64"/>
  </r>
  <r>
    <x v="0"/>
    <x v="0"/>
    <x v="35"/>
    <n v="32"/>
  </r>
  <r>
    <x v="0"/>
    <x v="0"/>
    <x v="4"/>
    <n v="4"/>
  </r>
  <r>
    <x v="0"/>
    <x v="0"/>
    <x v="9"/>
    <n v="50"/>
  </r>
  <r>
    <x v="0"/>
    <x v="0"/>
    <x v="16"/>
    <n v="1"/>
  </r>
  <r>
    <x v="0"/>
    <x v="0"/>
    <x v="43"/>
    <n v="95"/>
  </r>
  <r>
    <x v="0"/>
    <x v="0"/>
    <x v="39"/>
    <n v="1"/>
  </r>
  <r>
    <x v="0"/>
    <x v="0"/>
    <x v="14"/>
    <n v="6"/>
  </r>
  <r>
    <x v="0"/>
    <x v="0"/>
    <x v="45"/>
    <n v="27"/>
  </r>
  <r>
    <x v="0"/>
    <x v="0"/>
    <x v="56"/>
    <n v="31"/>
  </r>
  <r>
    <x v="0"/>
    <x v="1"/>
    <x v="35"/>
    <n v="660"/>
  </r>
  <r>
    <x v="0"/>
    <x v="1"/>
    <x v="0"/>
    <n v="37"/>
  </r>
  <r>
    <x v="0"/>
    <x v="1"/>
    <x v="30"/>
    <n v="13"/>
  </r>
  <r>
    <x v="0"/>
    <x v="1"/>
    <x v="46"/>
    <n v="424"/>
  </r>
  <r>
    <x v="0"/>
    <x v="1"/>
    <x v="37"/>
    <n v="42"/>
  </r>
  <r>
    <x v="0"/>
    <x v="1"/>
    <x v="16"/>
    <n v="115"/>
  </r>
  <r>
    <x v="0"/>
    <x v="1"/>
    <x v="57"/>
    <n v="8"/>
  </r>
  <r>
    <x v="0"/>
    <x v="1"/>
    <x v="32"/>
    <n v="16"/>
  </r>
  <r>
    <x v="0"/>
    <x v="1"/>
    <x v="38"/>
    <n v="74"/>
  </r>
  <r>
    <x v="0"/>
    <x v="1"/>
    <x v="1"/>
    <n v="817"/>
  </r>
  <r>
    <x v="0"/>
    <x v="1"/>
    <x v="39"/>
    <n v="349"/>
  </r>
  <r>
    <x v="0"/>
    <x v="1"/>
    <x v="49"/>
    <n v="686"/>
  </r>
  <r>
    <x v="0"/>
    <x v="1"/>
    <x v="50"/>
    <n v="51"/>
  </r>
  <r>
    <x v="1"/>
    <x v="0"/>
    <x v="0"/>
    <n v="2"/>
  </r>
  <r>
    <x v="1"/>
    <x v="0"/>
    <x v="30"/>
    <n v="1"/>
  </r>
  <r>
    <x v="1"/>
    <x v="0"/>
    <x v="46"/>
    <n v="29"/>
  </r>
  <r>
    <x v="1"/>
    <x v="0"/>
    <x v="55"/>
    <n v="6"/>
  </r>
  <r>
    <x v="1"/>
    <x v="0"/>
    <x v="32"/>
    <n v="1"/>
  </r>
  <r>
    <x v="1"/>
    <x v="0"/>
    <x v="20"/>
    <n v="3"/>
  </r>
  <r>
    <x v="1"/>
    <x v="0"/>
    <x v="21"/>
    <n v="80"/>
  </r>
  <r>
    <x v="1"/>
    <x v="0"/>
    <x v="33"/>
    <n v="8"/>
  </r>
  <r>
    <x v="1"/>
    <x v="0"/>
    <x v="50"/>
    <n v="4"/>
  </r>
  <r>
    <x v="1"/>
    <x v="1"/>
    <x v="51"/>
    <n v="44"/>
  </r>
  <r>
    <x v="1"/>
    <x v="1"/>
    <x v="55"/>
    <n v="122"/>
  </r>
  <r>
    <x v="1"/>
    <x v="1"/>
    <x v="52"/>
    <n v="42"/>
  </r>
  <r>
    <x v="1"/>
    <x v="1"/>
    <x v="2"/>
    <n v="319"/>
  </r>
  <r>
    <x v="1"/>
    <x v="1"/>
    <x v="33"/>
    <n v="98"/>
  </r>
  <r>
    <x v="1"/>
    <x v="1"/>
    <x v="40"/>
    <n v="3"/>
  </r>
  <r>
    <x v="1"/>
    <x v="1"/>
    <x v="53"/>
    <n v="14"/>
  </r>
  <r>
    <x v="2"/>
    <x v="0"/>
    <x v="3"/>
    <n v="4"/>
  </r>
  <r>
    <x v="2"/>
    <x v="0"/>
    <x v="28"/>
    <n v="61"/>
  </r>
  <r>
    <x v="2"/>
    <x v="0"/>
    <x v="52"/>
    <n v="4"/>
  </r>
  <r>
    <x v="2"/>
    <x v="0"/>
    <x v="41"/>
    <n v="31"/>
  </r>
  <r>
    <x v="2"/>
    <x v="1"/>
    <x v="3"/>
    <n v="45"/>
  </r>
  <r>
    <x v="2"/>
    <x v="1"/>
    <x v="9"/>
    <n v="435"/>
  </r>
  <r>
    <x v="2"/>
    <x v="1"/>
    <x v="10"/>
    <n v="183"/>
  </r>
  <r>
    <x v="2"/>
    <x v="1"/>
    <x v="11"/>
    <n v="100"/>
  </r>
  <r>
    <x v="2"/>
    <x v="1"/>
    <x v="28"/>
    <n v="1138"/>
  </r>
  <r>
    <x v="2"/>
    <x v="1"/>
    <x v="12"/>
    <n v="1077"/>
  </r>
  <r>
    <x v="2"/>
    <x v="1"/>
    <x v="22"/>
    <n v="246"/>
  </r>
  <r>
    <x v="2"/>
    <x v="1"/>
    <x v="8"/>
    <n v="169"/>
  </r>
  <r>
    <x v="2"/>
    <x v="1"/>
    <x v="13"/>
    <n v="54"/>
  </r>
  <r>
    <x v="3"/>
    <x v="0"/>
    <x v="47"/>
    <n v="1"/>
  </r>
  <r>
    <x v="3"/>
    <x v="0"/>
    <x v="26"/>
    <n v="5"/>
  </r>
  <r>
    <x v="3"/>
    <x v="0"/>
    <x v="10"/>
    <n v="13"/>
  </r>
  <r>
    <x v="3"/>
    <x v="0"/>
    <x v="27"/>
    <n v="26"/>
  </r>
  <r>
    <x v="3"/>
    <x v="0"/>
    <x v="11"/>
    <n v="7"/>
  </r>
  <r>
    <x v="3"/>
    <x v="0"/>
    <x v="48"/>
    <n v="1"/>
  </r>
  <r>
    <x v="3"/>
    <x v="0"/>
    <x v="12"/>
    <n v="111"/>
  </r>
  <r>
    <x v="3"/>
    <x v="0"/>
    <x v="13"/>
    <n v="5"/>
  </r>
  <r>
    <x v="3"/>
    <x v="0"/>
    <x v="24"/>
    <n v="10"/>
  </r>
  <r>
    <x v="3"/>
    <x v="1"/>
    <x v="15"/>
    <n v="385"/>
  </r>
  <r>
    <x v="3"/>
    <x v="1"/>
    <x v="42"/>
    <n v="80"/>
  </r>
  <r>
    <x v="3"/>
    <x v="1"/>
    <x v="47"/>
    <n v="14"/>
  </r>
  <r>
    <x v="3"/>
    <x v="1"/>
    <x v="27"/>
    <n v="205"/>
  </r>
  <r>
    <x v="3"/>
    <x v="1"/>
    <x v="17"/>
    <n v="121"/>
  </r>
  <r>
    <x v="3"/>
    <x v="1"/>
    <x v="18"/>
    <n v="37"/>
  </r>
  <r>
    <x v="3"/>
    <x v="1"/>
    <x v="19"/>
    <n v="55"/>
  </r>
  <r>
    <x v="4"/>
    <x v="0"/>
    <x v="15"/>
    <n v="51"/>
  </r>
  <r>
    <x v="4"/>
    <x v="0"/>
    <x v="42"/>
    <n v="7"/>
  </r>
  <r>
    <x v="4"/>
    <x v="0"/>
    <x v="34"/>
    <n v="153"/>
  </r>
  <r>
    <x v="4"/>
    <x v="0"/>
    <x v="17"/>
    <n v="9"/>
  </r>
  <r>
    <x v="4"/>
    <x v="0"/>
    <x v="29"/>
    <n v="11"/>
  </r>
  <r>
    <x v="4"/>
    <x v="0"/>
    <x v="56"/>
    <n v="30"/>
  </r>
  <r>
    <x v="4"/>
    <x v="1"/>
    <x v="43"/>
    <n v="1248"/>
  </r>
  <r>
    <x v="4"/>
    <x v="1"/>
    <x v="44"/>
    <n v="275"/>
  </r>
  <r>
    <x v="4"/>
    <x v="1"/>
    <x v="45"/>
    <n v="432"/>
  </r>
  <r>
    <x v="4"/>
    <x v="1"/>
    <x v="23"/>
    <n v="411"/>
  </r>
  <r>
    <x v="0"/>
    <x v="0"/>
    <x v="3"/>
    <n v="5"/>
  </r>
  <r>
    <x v="0"/>
    <x v="0"/>
    <x v="28"/>
    <n v="62"/>
  </r>
  <r>
    <x v="0"/>
    <x v="0"/>
    <x v="22"/>
    <n v="10"/>
  </r>
  <r>
    <x v="0"/>
    <x v="0"/>
    <x v="23"/>
    <n v="23"/>
  </r>
  <r>
    <x v="0"/>
    <x v="1"/>
    <x v="36"/>
    <n v="9"/>
  </r>
  <r>
    <x v="0"/>
    <x v="1"/>
    <x v="26"/>
    <n v="91"/>
  </r>
  <r>
    <x v="0"/>
    <x v="1"/>
    <x v="10"/>
    <n v="183"/>
  </r>
  <r>
    <x v="0"/>
    <x v="1"/>
    <x v="11"/>
    <n v="90"/>
  </r>
  <r>
    <x v="0"/>
    <x v="1"/>
    <x v="12"/>
    <n v="1139"/>
  </r>
  <r>
    <x v="0"/>
    <x v="1"/>
    <x v="22"/>
    <n v="242"/>
  </r>
  <r>
    <x v="0"/>
    <x v="1"/>
    <x v="13"/>
    <n v="67"/>
  </r>
  <r>
    <x v="0"/>
    <x v="1"/>
    <x v="24"/>
    <n v="103"/>
  </r>
  <r>
    <x v="1"/>
    <x v="0"/>
    <x v="36"/>
    <n v="1"/>
  </r>
  <r>
    <x v="1"/>
    <x v="0"/>
    <x v="25"/>
    <n v="9"/>
  </r>
  <r>
    <x v="1"/>
    <x v="0"/>
    <x v="5"/>
    <n v="6"/>
  </r>
  <r>
    <x v="1"/>
    <x v="0"/>
    <x v="31"/>
    <n v="1"/>
  </r>
  <r>
    <x v="1"/>
    <x v="0"/>
    <x v="7"/>
    <n v="3"/>
  </r>
  <r>
    <x v="1"/>
    <x v="0"/>
    <x v="47"/>
    <n v="1"/>
  </r>
  <r>
    <x v="1"/>
    <x v="0"/>
    <x v="26"/>
    <n v="10"/>
  </r>
  <r>
    <x v="1"/>
    <x v="0"/>
    <x v="27"/>
    <n v="19"/>
  </r>
  <r>
    <x v="1"/>
    <x v="0"/>
    <x v="24"/>
    <n v="8"/>
  </r>
  <r>
    <x v="1"/>
    <x v="1"/>
    <x v="15"/>
    <n v="315"/>
  </r>
  <r>
    <x v="1"/>
    <x v="1"/>
    <x v="31"/>
    <n v="21"/>
  </r>
  <r>
    <x v="1"/>
    <x v="1"/>
    <x v="42"/>
    <n v="99"/>
  </r>
  <r>
    <x v="1"/>
    <x v="1"/>
    <x v="54"/>
    <n v="8"/>
  </r>
  <r>
    <x v="1"/>
    <x v="1"/>
    <x v="34"/>
    <n v="4815"/>
  </r>
  <r>
    <x v="1"/>
    <x v="1"/>
    <x v="27"/>
    <n v="266"/>
  </r>
  <r>
    <x v="1"/>
    <x v="1"/>
    <x v="17"/>
    <n v="141"/>
  </r>
  <r>
    <x v="1"/>
    <x v="1"/>
    <x v="29"/>
    <n v="184"/>
  </r>
  <r>
    <x v="2"/>
    <x v="0"/>
    <x v="34"/>
    <n v="202"/>
  </r>
  <r>
    <x v="2"/>
    <x v="0"/>
    <x v="43"/>
    <n v="96"/>
  </r>
  <r>
    <x v="2"/>
    <x v="0"/>
    <x v="29"/>
    <n v="7"/>
  </r>
  <r>
    <x v="2"/>
    <x v="0"/>
    <x v="14"/>
    <n v="1"/>
  </r>
  <r>
    <x v="2"/>
    <x v="0"/>
    <x v="45"/>
    <n v="23"/>
  </r>
  <r>
    <x v="2"/>
    <x v="0"/>
    <x v="56"/>
    <n v="19"/>
  </r>
  <r>
    <x v="2"/>
    <x v="1"/>
    <x v="35"/>
    <n v="655"/>
  </r>
  <r>
    <x v="2"/>
    <x v="1"/>
    <x v="37"/>
    <n v="60"/>
  </r>
  <r>
    <x v="2"/>
    <x v="1"/>
    <x v="16"/>
    <n v="109"/>
  </r>
  <r>
    <x v="2"/>
    <x v="1"/>
    <x v="38"/>
    <n v="71"/>
  </r>
  <r>
    <x v="2"/>
    <x v="1"/>
    <x v="1"/>
    <n v="819"/>
  </r>
  <r>
    <x v="2"/>
    <x v="1"/>
    <x v="43"/>
    <n v="1156"/>
  </r>
  <r>
    <x v="2"/>
    <x v="1"/>
    <x v="49"/>
    <n v="769"/>
  </r>
  <r>
    <x v="2"/>
    <x v="1"/>
    <x v="44"/>
    <n v="308"/>
  </r>
  <r>
    <x v="2"/>
    <x v="1"/>
    <x v="45"/>
    <n v="362"/>
  </r>
  <r>
    <x v="2"/>
    <x v="1"/>
    <x v="23"/>
    <n v="404"/>
  </r>
  <r>
    <x v="3"/>
    <x v="0"/>
    <x v="0"/>
    <n v="2"/>
  </r>
  <r>
    <x v="3"/>
    <x v="0"/>
    <x v="30"/>
    <n v="2"/>
  </r>
  <r>
    <x v="3"/>
    <x v="0"/>
    <x v="46"/>
    <n v="28"/>
  </r>
  <r>
    <x v="3"/>
    <x v="0"/>
    <x v="37"/>
    <n v="1"/>
  </r>
  <r>
    <x v="3"/>
    <x v="0"/>
    <x v="57"/>
    <n v="1"/>
  </r>
  <r>
    <x v="3"/>
    <x v="0"/>
    <x v="32"/>
    <n v="1"/>
  </r>
  <r>
    <x v="3"/>
    <x v="0"/>
    <x v="38"/>
    <n v="6"/>
  </r>
  <r>
    <x v="3"/>
    <x v="0"/>
    <x v="1"/>
    <n v="35"/>
  </r>
  <r>
    <x v="3"/>
    <x v="0"/>
    <x v="49"/>
    <n v="28"/>
  </r>
  <r>
    <x v="3"/>
    <x v="0"/>
    <x v="33"/>
    <n v="12"/>
  </r>
  <r>
    <x v="3"/>
    <x v="0"/>
    <x v="40"/>
    <n v="1"/>
  </r>
  <r>
    <x v="3"/>
    <x v="0"/>
    <x v="50"/>
    <n v="2"/>
  </r>
  <r>
    <x v="3"/>
    <x v="1"/>
    <x v="6"/>
    <n v="87"/>
  </r>
  <r>
    <x v="3"/>
    <x v="1"/>
    <x v="51"/>
    <n v="68"/>
  </r>
  <r>
    <x v="3"/>
    <x v="1"/>
    <x v="7"/>
    <n v="11"/>
  </r>
  <r>
    <x v="3"/>
    <x v="1"/>
    <x v="2"/>
    <n v="219"/>
  </r>
  <r>
    <x v="3"/>
    <x v="1"/>
    <x v="33"/>
    <n v="109"/>
  </r>
  <r>
    <x v="3"/>
    <x v="1"/>
    <x v="40"/>
    <n v="8"/>
  </r>
  <r>
    <x v="3"/>
    <x v="1"/>
    <x v="53"/>
    <n v="13"/>
  </r>
  <r>
    <x v="4"/>
    <x v="0"/>
    <x v="51"/>
    <n v="6"/>
  </r>
  <r>
    <x v="4"/>
    <x v="0"/>
    <x v="52"/>
    <n v="2"/>
  </r>
  <r>
    <x v="4"/>
    <x v="0"/>
    <x v="41"/>
    <n v="44"/>
  </r>
  <r>
    <x v="4"/>
    <x v="0"/>
    <x v="2"/>
    <n v="7"/>
  </r>
  <r>
    <x v="4"/>
    <x v="0"/>
    <x v="53"/>
    <n v="8"/>
  </r>
  <r>
    <x v="4"/>
    <x v="1"/>
    <x v="3"/>
    <n v="44"/>
  </r>
  <r>
    <x v="4"/>
    <x v="1"/>
    <x v="4"/>
    <n v="21"/>
  </r>
  <r>
    <x v="4"/>
    <x v="1"/>
    <x v="9"/>
    <n v="502"/>
  </r>
  <r>
    <x v="4"/>
    <x v="1"/>
    <x v="28"/>
    <n v="1358"/>
  </r>
  <r>
    <x v="4"/>
    <x v="1"/>
    <x v="41"/>
    <n v="472"/>
  </r>
  <r>
    <x v="4"/>
    <x v="1"/>
    <x v="8"/>
    <n v="257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0">
  <r>
    <x v="0"/>
    <x v="0"/>
    <n v="0"/>
    <n v="4"/>
  </r>
  <r>
    <x v="1"/>
    <x v="1"/>
    <n v="4"/>
    <n v="173"/>
  </r>
  <r>
    <x v="2"/>
    <x v="1"/>
    <n v="11"/>
    <n v="140"/>
  </r>
  <r>
    <x v="1"/>
    <x v="2"/>
    <n v="49"/>
    <n v="444"/>
  </r>
  <r>
    <x v="2"/>
    <x v="2"/>
    <n v="48"/>
    <n v="545"/>
  </r>
  <r>
    <x v="1"/>
    <x v="3"/>
    <n v="1"/>
    <n v="14"/>
  </r>
  <r>
    <x v="0"/>
    <x v="4"/>
    <n v="5"/>
    <n v="79"/>
  </r>
  <r>
    <x v="3"/>
    <x v="5"/>
    <n v="0"/>
    <n v="11"/>
  </r>
  <r>
    <x v="1"/>
    <x v="6"/>
    <n v="4"/>
    <n v="21"/>
  </r>
  <r>
    <x v="2"/>
    <x v="6"/>
    <n v="1"/>
    <n v="9"/>
  </r>
  <r>
    <x v="4"/>
    <x v="7"/>
    <n v="23"/>
    <n v="348"/>
  </r>
  <r>
    <x v="3"/>
    <x v="8"/>
    <n v="6"/>
    <n v="81"/>
  </r>
  <r>
    <x v="4"/>
    <x v="8"/>
    <n v="7"/>
    <n v="118"/>
  </r>
  <r>
    <x v="0"/>
    <x v="9"/>
    <n v="71"/>
    <n v="1693"/>
  </r>
  <r>
    <x v="3"/>
    <x v="10"/>
    <n v="39"/>
    <n v="1301"/>
  </r>
  <r>
    <x v="1"/>
    <x v="11"/>
    <n v="47"/>
    <n v="580"/>
  </r>
  <r>
    <x v="2"/>
    <x v="11"/>
    <n v="57"/>
    <n v="667"/>
  </r>
  <r>
    <x v="3"/>
    <x v="12"/>
    <n v="7"/>
    <n v="429"/>
  </r>
  <r>
    <x v="4"/>
    <x v="12"/>
    <n v="8"/>
    <n v="326"/>
  </r>
  <r>
    <x v="3"/>
    <x v="13"/>
    <n v="30"/>
    <n v="1047"/>
  </r>
  <r>
    <x v="3"/>
    <x v="14"/>
    <n v="6"/>
    <n v="38"/>
  </r>
  <r>
    <x v="4"/>
    <x v="14"/>
    <n v="9"/>
    <n v="47"/>
  </r>
  <r>
    <x v="1"/>
    <x v="15"/>
    <n v="18"/>
    <n v="413"/>
  </r>
  <r>
    <x v="2"/>
    <x v="15"/>
    <n v="6"/>
    <n v="338"/>
  </r>
  <r>
    <x v="1"/>
    <x v="16"/>
    <n v="5"/>
    <n v="102"/>
  </r>
  <r>
    <x v="2"/>
    <x v="16"/>
    <n v="6"/>
    <n v="79"/>
  </r>
  <r>
    <x v="3"/>
    <x v="17"/>
    <n v="24"/>
    <n v="541"/>
  </r>
  <r>
    <x v="4"/>
    <x v="17"/>
    <n v="24"/>
    <n v="559"/>
  </r>
  <r>
    <x v="3"/>
    <x v="18"/>
    <n v="13"/>
    <n v="145"/>
  </r>
  <r>
    <x v="0"/>
    <x v="19"/>
    <n v="3"/>
    <n v="53"/>
  </r>
  <r>
    <x v="2"/>
    <x v="20"/>
    <n v="29"/>
    <n v="660"/>
  </r>
  <r>
    <x v="1"/>
    <x v="21"/>
    <n v="3"/>
    <n v="18"/>
  </r>
  <r>
    <x v="2"/>
    <x v="21"/>
    <n v="2"/>
    <n v="18"/>
  </r>
  <r>
    <x v="3"/>
    <x v="22"/>
    <n v="1"/>
    <n v="26"/>
  </r>
  <r>
    <x v="4"/>
    <x v="22"/>
    <n v="1"/>
    <n v="26"/>
  </r>
  <r>
    <x v="1"/>
    <x v="23"/>
    <n v="16"/>
    <n v="146"/>
  </r>
  <r>
    <x v="2"/>
    <x v="23"/>
    <n v="7"/>
    <n v="101"/>
  </r>
  <r>
    <x v="0"/>
    <x v="24"/>
    <n v="7"/>
    <n v="123"/>
  </r>
  <r>
    <x v="0"/>
    <x v="25"/>
    <n v="0"/>
    <n v="20"/>
  </r>
  <r>
    <x v="0"/>
    <x v="26"/>
    <n v="10"/>
    <n v="138"/>
  </r>
  <r>
    <x v="0"/>
    <x v="27"/>
    <n v="7"/>
    <n v="144"/>
  </r>
  <r>
    <x v="0"/>
    <x v="28"/>
    <n v="10"/>
    <n v="104"/>
  </r>
  <r>
    <x v="0"/>
    <x v="29"/>
    <n v="5"/>
    <n v="141"/>
  </r>
  <r>
    <x v="3"/>
    <x v="30"/>
    <n v="3"/>
    <n v="256"/>
  </r>
  <r>
    <x v="4"/>
    <x v="30"/>
    <n v="10"/>
    <n v="280"/>
  </r>
  <r>
    <x v="1"/>
    <x v="31"/>
    <n v="116"/>
    <n v="1709"/>
  </r>
  <r>
    <x v="2"/>
    <x v="31"/>
    <n v="124"/>
    <n v="1360"/>
  </r>
  <r>
    <x v="1"/>
    <x v="32"/>
    <n v="1"/>
    <n v="49"/>
  </r>
  <r>
    <x v="2"/>
    <x v="32"/>
    <n v="4"/>
    <n v="42"/>
  </r>
  <r>
    <x v="0"/>
    <x v="33"/>
    <n v="106"/>
    <n v="1696"/>
  </r>
  <r>
    <x v="3"/>
    <x v="34"/>
    <n v="86"/>
    <n v="2360"/>
  </r>
  <r>
    <x v="4"/>
    <x v="34"/>
    <n v="106"/>
    <n v="2714"/>
  </r>
  <r>
    <x v="0"/>
    <x v="35"/>
    <n v="5"/>
    <n v="491"/>
  </r>
  <r>
    <x v="0"/>
    <x v="36"/>
    <n v="11"/>
    <n v="336"/>
  </r>
  <r>
    <x v="0"/>
    <x v="37"/>
    <n v="7"/>
    <n v="261"/>
  </r>
  <r>
    <x v="1"/>
    <x v="38"/>
    <n v="15"/>
    <n v="351"/>
  </r>
  <r>
    <x v="2"/>
    <x v="38"/>
    <n v="8"/>
    <n v="250"/>
  </r>
  <r>
    <x v="3"/>
    <x v="39"/>
    <n v="39"/>
    <n v="512"/>
  </r>
  <r>
    <x v="4"/>
    <x v="39"/>
    <n v="46"/>
    <n v="623"/>
  </r>
  <r>
    <x v="3"/>
    <x v="40"/>
    <n v="3"/>
    <n v="24"/>
  </r>
  <r>
    <x v="4"/>
    <x v="40"/>
    <n v="8"/>
    <n v="27"/>
  </r>
  <r>
    <x v="0"/>
    <x v="41"/>
    <n v="25"/>
    <n v="350"/>
  </r>
  <r>
    <x v="3"/>
    <x v="42"/>
    <n v="4"/>
    <n v="58"/>
  </r>
  <r>
    <x v="4"/>
    <x v="18"/>
    <n v="11"/>
    <n v="193"/>
  </r>
  <r>
    <x v="3"/>
    <x v="20"/>
    <n v="24"/>
    <n v="926"/>
  </r>
  <r>
    <x v="4"/>
    <x v="20"/>
    <n v="34"/>
    <n v="867"/>
  </r>
  <r>
    <x v="3"/>
    <x v="0"/>
    <n v="1"/>
    <n v="4"/>
  </r>
  <r>
    <x v="4"/>
    <x v="0"/>
    <n v="0"/>
    <n v="4"/>
  </r>
  <r>
    <x v="0"/>
    <x v="43"/>
    <n v="9"/>
    <n v="183"/>
  </r>
  <r>
    <x v="3"/>
    <x v="44"/>
    <n v="5"/>
    <n v="56"/>
  </r>
  <r>
    <x v="4"/>
    <x v="44"/>
    <n v="5"/>
    <n v="61"/>
  </r>
  <r>
    <x v="3"/>
    <x v="2"/>
    <n v="32"/>
    <n v="491"/>
  </r>
  <r>
    <x v="4"/>
    <x v="2"/>
    <n v="67"/>
    <n v="730"/>
  </r>
  <r>
    <x v="0"/>
    <x v="22"/>
    <n v="1"/>
    <n v="20"/>
  </r>
  <r>
    <x v="3"/>
    <x v="45"/>
    <n v="48"/>
    <n v="663"/>
  </r>
  <r>
    <x v="4"/>
    <x v="45"/>
    <n v="64"/>
    <n v="805"/>
  </r>
  <r>
    <x v="1"/>
    <x v="4"/>
    <n v="8"/>
    <n v="75"/>
  </r>
  <r>
    <x v="2"/>
    <x v="4"/>
    <n v="4"/>
    <n v="85"/>
  </r>
  <r>
    <x v="3"/>
    <x v="26"/>
    <n v="12"/>
    <n v="174"/>
  </r>
  <r>
    <x v="4"/>
    <x v="26"/>
    <n v="9"/>
    <n v="171"/>
  </r>
  <r>
    <x v="3"/>
    <x v="46"/>
    <n v="1"/>
    <n v="16"/>
  </r>
  <r>
    <x v="4"/>
    <x v="46"/>
    <n v="0"/>
    <n v="14"/>
  </r>
  <r>
    <x v="3"/>
    <x v="47"/>
    <n v="23"/>
    <n v="279"/>
  </r>
  <r>
    <x v="4"/>
    <x v="47"/>
    <n v="22"/>
    <n v="312"/>
  </r>
  <r>
    <x v="3"/>
    <x v="7"/>
    <n v="20"/>
    <n v="405"/>
  </r>
  <r>
    <x v="4"/>
    <x v="29"/>
    <n v="2"/>
    <n v="146"/>
  </r>
  <r>
    <x v="2"/>
    <x v="30"/>
    <n v="7"/>
    <n v="260"/>
  </r>
  <r>
    <x v="0"/>
    <x v="48"/>
    <n v="1"/>
    <n v="37"/>
  </r>
  <r>
    <x v="0"/>
    <x v="31"/>
    <n v="109"/>
    <n v="1677"/>
  </r>
  <r>
    <x v="3"/>
    <x v="32"/>
    <n v="3"/>
    <n v="58"/>
  </r>
  <r>
    <x v="4"/>
    <x v="35"/>
    <n v="8"/>
    <n v="422"/>
  </r>
  <r>
    <x v="4"/>
    <x v="36"/>
    <n v="13"/>
    <n v="361"/>
  </r>
  <r>
    <x v="4"/>
    <x v="13"/>
    <n v="40"/>
    <n v="966"/>
  </r>
  <r>
    <x v="1"/>
    <x v="37"/>
    <n v="7"/>
    <n v="256"/>
  </r>
  <r>
    <x v="2"/>
    <x v="37"/>
    <n v="7"/>
    <n v="197"/>
  </r>
  <r>
    <x v="1"/>
    <x v="49"/>
    <n v="0"/>
    <n v="5"/>
  </r>
  <r>
    <x v="2"/>
    <x v="49"/>
    <n v="1"/>
    <n v="9"/>
  </r>
  <r>
    <x v="0"/>
    <x v="14"/>
    <n v="1"/>
    <n v="44"/>
  </r>
  <r>
    <x v="3"/>
    <x v="15"/>
    <n v="10"/>
    <n v="445"/>
  </r>
  <r>
    <x v="4"/>
    <x v="15"/>
    <n v="19"/>
    <n v="401"/>
  </r>
  <r>
    <x v="0"/>
    <x v="40"/>
    <n v="3"/>
    <n v="19"/>
  </r>
  <r>
    <x v="0"/>
    <x v="18"/>
    <n v="8"/>
    <n v="141"/>
  </r>
  <r>
    <x v="1"/>
    <x v="20"/>
    <n v="34"/>
    <n v="922"/>
  </r>
  <r>
    <x v="1"/>
    <x v="0"/>
    <n v="2"/>
    <n v="13"/>
  </r>
  <r>
    <x v="3"/>
    <x v="43"/>
    <n v="9"/>
    <n v="188"/>
  </r>
  <r>
    <x v="4"/>
    <x v="43"/>
    <n v="15"/>
    <n v="193"/>
  </r>
  <r>
    <x v="0"/>
    <x v="44"/>
    <n v="5"/>
    <n v="56"/>
  </r>
  <r>
    <x v="0"/>
    <x v="23"/>
    <n v="17"/>
    <n v="130"/>
  </r>
  <r>
    <x v="0"/>
    <x v="45"/>
    <n v="50"/>
    <n v="637"/>
  </r>
  <r>
    <x v="3"/>
    <x v="24"/>
    <n v="9"/>
    <n v="96"/>
  </r>
  <r>
    <x v="3"/>
    <x v="4"/>
    <n v="3"/>
    <n v="66"/>
  </r>
  <r>
    <x v="4"/>
    <x v="4"/>
    <n v="9"/>
    <n v="103"/>
  </r>
  <r>
    <x v="1"/>
    <x v="26"/>
    <n v="6"/>
    <n v="149"/>
  </r>
  <r>
    <x v="2"/>
    <x v="26"/>
    <n v="10"/>
    <n v="114"/>
  </r>
  <r>
    <x v="1"/>
    <x v="46"/>
    <n v="5"/>
    <n v="32"/>
  </r>
  <r>
    <x v="2"/>
    <x v="46"/>
    <n v="1"/>
    <n v="15"/>
  </r>
  <r>
    <x v="0"/>
    <x v="47"/>
    <n v="13"/>
    <n v="302"/>
  </r>
  <r>
    <x v="3"/>
    <x v="6"/>
    <n v="1"/>
    <n v="17"/>
  </r>
  <r>
    <x v="0"/>
    <x v="7"/>
    <n v="14"/>
    <n v="402"/>
  </r>
  <r>
    <x v="0"/>
    <x v="30"/>
    <n v="7"/>
    <n v="246"/>
  </r>
  <r>
    <x v="3"/>
    <x v="48"/>
    <n v="1"/>
    <n v="33"/>
  </r>
  <r>
    <x v="4"/>
    <x v="48"/>
    <n v="1"/>
    <n v="31"/>
  </r>
  <r>
    <x v="3"/>
    <x v="31"/>
    <n v="130"/>
    <n v="1664"/>
  </r>
  <r>
    <x v="4"/>
    <x v="31"/>
    <n v="106"/>
    <n v="1908"/>
  </r>
  <r>
    <x v="0"/>
    <x v="32"/>
    <n v="4"/>
    <n v="39"/>
  </r>
  <r>
    <x v="1"/>
    <x v="35"/>
    <n v="1"/>
    <n v="467"/>
  </r>
  <r>
    <x v="2"/>
    <x v="35"/>
    <n v="4"/>
    <n v="355"/>
  </r>
  <r>
    <x v="1"/>
    <x v="13"/>
    <n v="42"/>
    <n v="926"/>
  </r>
  <r>
    <x v="2"/>
    <x v="13"/>
    <n v="31"/>
    <n v="811"/>
  </r>
  <r>
    <x v="3"/>
    <x v="37"/>
    <n v="10"/>
    <n v="232"/>
  </r>
  <r>
    <x v="4"/>
    <x v="37"/>
    <n v="12"/>
    <n v="236"/>
  </r>
  <r>
    <x v="0"/>
    <x v="49"/>
    <n v="0"/>
    <n v="14"/>
  </r>
  <r>
    <x v="2"/>
    <x v="14"/>
    <n v="1"/>
    <n v="51"/>
  </r>
  <r>
    <x v="0"/>
    <x v="38"/>
    <n v="13"/>
    <n v="229"/>
  </r>
  <r>
    <x v="0"/>
    <x v="15"/>
    <n v="11"/>
    <n v="415"/>
  </r>
  <r>
    <x v="3"/>
    <x v="16"/>
    <n v="5"/>
    <n v="117"/>
  </r>
  <r>
    <x v="1"/>
    <x v="40"/>
    <n v="2"/>
    <n v="32"/>
  </r>
  <r>
    <x v="2"/>
    <x v="40"/>
    <n v="2"/>
    <n v="18"/>
  </r>
  <r>
    <x v="1"/>
    <x v="18"/>
    <n v="6"/>
    <n v="148"/>
  </r>
  <r>
    <x v="2"/>
    <x v="18"/>
    <n v="12"/>
    <n v="114"/>
  </r>
  <r>
    <x v="3"/>
    <x v="19"/>
    <n v="3"/>
    <n v="71"/>
  </r>
  <r>
    <x v="4"/>
    <x v="19"/>
    <n v="3"/>
    <n v="91"/>
  </r>
  <r>
    <x v="1"/>
    <x v="50"/>
    <n v="5"/>
    <n v="61"/>
  </r>
  <r>
    <x v="2"/>
    <x v="50"/>
    <n v="7"/>
    <n v="43"/>
  </r>
  <r>
    <x v="0"/>
    <x v="21"/>
    <n v="1"/>
    <n v="29"/>
  </r>
  <r>
    <x v="1"/>
    <x v="51"/>
    <n v="24"/>
    <n v="609"/>
  </r>
  <r>
    <x v="2"/>
    <x v="51"/>
    <n v="30"/>
    <n v="501"/>
  </r>
  <r>
    <x v="3"/>
    <x v="52"/>
    <n v="2"/>
    <n v="20"/>
  </r>
  <r>
    <x v="4"/>
    <x v="52"/>
    <n v="0"/>
    <n v="31"/>
  </r>
  <r>
    <x v="0"/>
    <x v="1"/>
    <n v="11"/>
    <n v="140"/>
  </r>
  <r>
    <x v="3"/>
    <x v="53"/>
    <n v="8"/>
    <n v="84"/>
  </r>
  <r>
    <x v="4"/>
    <x v="53"/>
    <n v="8"/>
    <n v="100"/>
  </r>
  <r>
    <x v="0"/>
    <x v="3"/>
    <n v="3"/>
    <n v="18"/>
  </r>
  <r>
    <x v="3"/>
    <x v="25"/>
    <n v="5"/>
    <n v="22"/>
  </r>
  <r>
    <x v="4"/>
    <x v="25"/>
    <n v="2"/>
    <n v="18"/>
  </r>
  <r>
    <x v="3"/>
    <x v="54"/>
    <n v="240"/>
    <n v="7149"/>
  </r>
  <r>
    <x v="4"/>
    <x v="54"/>
    <n v="164"/>
    <n v="6702"/>
  </r>
  <r>
    <x v="1"/>
    <x v="5"/>
    <n v="0"/>
    <n v="9"/>
  </r>
  <r>
    <x v="2"/>
    <x v="5"/>
    <n v="1"/>
    <n v="8"/>
  </r>
  <r>
    <x v="3"/>
    <x v="29"/>
    <n v="2"/>
    <n v="182"/>
  </r>
  <r>
    <x v="0"/>
    <x v="8"/>
    <n v="2"/>
    <n v="86"/>
  </r>
  <r>
    <x v="3"/>
    <x v="9"/>
    <n v="67"/>
    <n v="1789"/>
  </r>
  <r>
    <x v="4"/>
    <x v="9"/>
    <n v="79"/>
    <n v="1973"/>
  </r>
  <r>
    <x v="1"/>
    <x v="10"/>
    <n v="52"/>
    <n v="1231"/>
  </r>
  <r>
    <x v="2"/>
    <x v="10"/>
    <n v="36"/>
    <n v="1119"/>
  </r>
  <r>
    <x v="1"/>
    <x v="33"/>
    <n v="110"/>
    <n v="1542"/>
  </r>
  <r>
    <x v="2"/>
    <x v="33"/>
    <n v="94"/>
    <n v="1520"/>
  </r>
  <r>
    <x v="1"/>
    <x v="34"/>
    <n v="84"/>
    <n v="2324"/>
  </r>
  <r>
    <x v="2"/>
    <x v="34"/>
    <n v="98"/>
    <n v="2164"/>
  </r>
  <r>
    <x v="3"/>
    <x v="55"/>
    <n v="12"/>
    <n v="187"/>
  </r>
  <r>
    <x v="4"/>
    <x v="55"/>
    <n v="9"/>
    <n v="217"/>
  </r>
  <r>
    <x v="3"/>
    <x v="36"/>
    <n v="9"/>
    <n v="272"/>
  </r>
  <r>
    <x v="1"/>
    <x v="56"/>
    <n v="9"/>
    <n v="166"/>
  </r>
  <r>
    <x v="2"/>
    <x v="56"/>
    <n v="14"/>
    <n v="155"/>
  </r>
  <r>
    <x v="0"/>
    <x v="39"/>
    <n v="26"/>
    <n v="525"/>
  </r>
  <r>
    <x v="3"/>
    <x v="57"/>
    <n v="5"/>
    <n v="48"/>
  </r>
  <r>
    <x v="4"/>
    <x v="57"/>
    <n v="4"/>
    <n v="56"/>
  </r>
  <r>
    <x v="3"/>
    <x v="41"/>
    <n v="27"/>
    <n v="361"/>
  </r>
  <r>
    <x v="4"/>
    <x v="41"/>
    <n v="34"/>
    <n v="416"/>
  </r>
  <r>
    <x v="4"/>
    <x v="42"/>
    <n v="6"/>
    <n v="63"/>
  </r>
  <r>
    <x v="2"/>
    <x v="0"/>
    <n v="0"/>
    <n v="2"/>
  </r>
  <r>
    <x v="1"/>
    <x v="43"/>
    <n v="18"/>
    <n v="171"/>
  </r>
  <r>
    <x v="3"/>
    <x v="51"/>
    <n v="32"/>
    <n v="677"/>
  </r>
  <r>
    <x v="4"/>
    <x v="51"/>
    <n v="32"/>
    <n v="580"/>
  </r>
  <r>
    <x v="0"/>
    <x v="52"/>
    <n v="1"/>
    <n v="28"/>
  </r>
  <r>
    <x v="3"/>
    <x v="1"/>
    <n v="7"/>
    <n v="175"/>
  </r>
  <r>
    <x v="4"/>
    <x v="1"/>
    <n v="14"/>
    <n v="152"/>
  </r>
  <r>
    <x v="0"/>
    <x v="2"/>
    <n v="36"/>
    <n v="494"/>
  </r>
  <r>
    <x v="1"/>
    <x v="53"/>
    <n v="5"/>
    <n v="68"/>
  </r>
  <r>
    <x v="3"/>
    <x v="3"/>
    <n v="0"/>
    <n v="16"/>
  </r>
  <r>
    <x v="4"/>
    <x v="3"/>
    <n v="1"/>
    <n v="22"/>
  </r>
  <r>
    <x v="2"/>
    <x v="45"/>
    <n v="71"/>
    <n v="714"/>
  </r>
  <r>
    <x v="0"/>
    <x v="5"/>
    <n v="0"/>
    <n v="4"/>
  </r>
  <r>
    <x v="0"/>
    <x v="6"/>
    <n v="4"/>
    <n v="19"/>
  </r>
  <r>
    <x v="1"/>
    <x v="7"/>
    <n v="19"/>
    <n v="333"/>
  </r>
  <r>
    <x v="2"/>
    <x v="7"/>
    <n v="29"/>
    <n v="300"/>
  </r>
  <r>
    <x v="1"/>
    <x v="8"/>
    <n v="6"/>
    <n v="94"/>
  </r>
  <r>
    <x v="2"/>
    <x v="8"/>
    <n v="6"/>
    <n v="78"/>
  </r>
  <r>
    <x v="1"/>
    <x v="9"/>
    <n v="72"/>
    <n v="1883"/>
  </r>
  <r>
    <x v="2"/>
    <x v="9"/>
    <n v="71"/>
    <n v="1211"/>
  </r>
  <r>
    <x v="1"/>
    <x v="48"/>
    <n v="3"/>
    <n v="27"/>
  </r>
  <r>
    <x v="2"/>
    <x v="48"/>
    <n v="1"/>
    <n v="19"/>
  </r>
  <r>
    <x v="0"/>
    <x v="10"/>
    <n v="53"/>
    <n v="1187"/>
  </r>
  <r>
    <x v="0"/>
    <x v="11"/>
    <n v="34"/>
    <n v="714"/>
  </r>
  <r>
    <x v="0"/>
    <x v="55"/>
    <n v="12"/>
    <n v="194"/>
  </r>
  <r>
    <x v="0"/>
    <x v="12"/>
    <n v="6"/>
    <n v="428"/>
  </r>
  <r>
    <x v="0"/>
    <x v="13"/>
    <n v="39"/>
    <n v="1071"/>
  </r>
  <r>
    <x v="0"/>
    <x v="56"/>
    <n v="14"/>
    <n v="128"/>
  </r>
  <r>
    <x v="3"/>
    <x v="49"/>
    <n v="0"/>
    <n v="4"/>
  </r>
  <r>
    <x v="1"/>
    <x v="14"/>
    <n v="6"/>
    <n v="47"/>
  </r>
  <r>
    <x v="0"/>
    <x v="16"/>
    <n v="9"/>
    <n v="90"/>
  </r>
  <r>
    <x v="0"/>
    <x v="17"/>
    <n v="17"/>
    <n v="581"/>
  </r>
  <r>
    <x v="1"/>
    <x v="19"/>
    <n v="4"/>
    <n v="42"/>
  </r>
  <r>
    <x v="2"/>
    <x v="19"/>
    <n v="1"/>
    <n v="74"/>
  </r>
  <r>
    <x v="3"/>
    <x v="50"/>
    <n v="4"/>
    <n v="46"/>
  </r>
  <r>
    <x v="4"/>
    <x v="50"/>
    <n v="10"/>
    <n v="54"/>
  </r>
  <r>
    <x v="3"/>
    <x v="21"/>
    <n v="1"/>
    <n v="23"/>
  </r>
  <r>
    <x v="0"/>
    <x v="51"/>
    <n v="30"/>
    <n v="685"/>
  </r>
  <r>
    <x v="1"/>
    <x v="52"/>
    <n v="4"/>
    <n v="20"/>
  </r>
  <r>
    <x v="2"/>
    <x v="52"/>
    <n v="2"/>
    <n v="41"/>
  </r>
  <r>
    <x v="0"/>
    <x v="53"/>
    <n v="7"/>
    <n v="88"/>
  </r>
  <r>
    <x v="2"/>
    <x v="3"/>
    <n v="3"/>
    <n v="27"/>
  </r>
  <r>
    <x v="4"/>
    <x v="24"/>
    <n v="7"/>
    <n v="127"/>
  </r>
  <r>
    <x v="1"/>
    <x v="25"/>
    <n v="1"/>
    <n v="14"/>
  </r>
  <r>
    <x v="1"/>
    <x v="54"/>
    <n v="222"/>
    <n v="7049"/>
  </r>
  <r>
    <x v="2"/>
    <x v="54"/>
    <n v="224"/>
    <n v="5843"/>
  </r>
  <r>
    <x v="1"/>
    <x v="27"/>
    <n v="1"/>
    <n v="157"/>
  </r>
  <r>
    <x v="2"/>
    <x v="27"/>
    <n v="0"/>
    <n v="114"/>
  </r>
  <r>
    <x v="1"/>
    <x v="28"/>
    <n v="3"/>
    <n v="123"/>
  </r>
  <r>
    <x v="2"/>
    <x v="28"/>
    <n v="6"/>
    <n v="100"/>
  </r>
  <r>
    <x v="4"/>
    <x v="5"/>
    <n v="1"/>
    <n v="13"/>
  </r>
  <r>
    <x v="4"/>
    <x v="6"/>
    <n v="2"/>
    <n v="8"/>
  </r>
  <r>
    <x v="4"/>
    <x v="10"/>
    <n v="64"/>
    <n v="1328"/>
  </r>
  <r>
    <x v="4"/>
    <x v="33"/>
    <n v="130"/>
    <n v="1857"/>
  </r>
  <r>
    <x v="0"/>
    <x v="34"/>
    <n v="85"/>
    <n v="2433"/>
  </r>
  <r>
    <x v="3"/>
    <x v="11"/>
    <n v="39"/>
    <n v="593"/>
  </r>
  <r>
    <x v="4"/>
    <x v="11"/>
    <n v="50"/>
    <n v="690"/>
  </r>
  <r>
    <x v="1"/>
    <x v="55"/>
    <n v="18"/>
    <n v="226"/>
  </r>
  <r>
    <x v="2"/>
    <x v="55"/>
    <n v="8"/>
    <n v="160"/>
  </r>
  <r>
    <x v="1"/>
    <x v="12"/>
    <n v="11"/>
    <n v="399"/>
  </r>
  <r>
    <x v="2"/>
    <x v="12"/>
    <n v="13"/>
    <n v="289"/>
  </r>
  <r>
    <x v="1"/>
    <x v="36"/>
    <n v="16"/>
    <n v="321"/>
  </r>
  <r>
    <x v="3"/>
    <x v="56"/>
    <n v="8"/>
    <n v="135"/>
  </r>
  <r>
    <x v="4"/>
    <x v="56"/>
    <n v="10"/>
    <n v="178"/>
  </r>
  <r>
    <x v="4"/>
    <x v="16"/>
    <n v="5"/>
    <n v="112"/>
  </r>
  <r>
    <x v="1"/>
    <x v="57"/>
    <n v="4"/>
    <n v="63"/>
  </r>
  <r>
    <x v="2"/>
    <x v="57"/>
    <n v="9"/>
    <n v="61"/>
  </r>
  <r>
    <x v="1"/>
    <x v="41"/>
    <n v="36"/>
    <n v="307"/>
  </r>
  <r>
    <x v="2"/>
    <x v="41"/>
    <n v="38"/>
    <n v="338"/>
  </r>
  <r>
    <x v="1"/>
    <x v="42"/>
    <n v="3"/>
    <n v="63"/>
  </r>
  <r>
    <x v="2"/>
    <x v="42"/>
    <n v="2"/>
    <n v="89"/>
  </r>
  <r>
    <x v="1"/>
    <x v="17"/>
    <n v="27"/>
    <n v="565"/>
  </r>
  <r>
    <x v="2"/>
    <x v="17"/>
    <n v="30"/>
    <n v="454"/>
  </r>
  <r>
    <x v="0"/>
    <x v="20"/>
    <n v="29"/>
    <n v="878"/>
  </r>
  <r>
    <x v="0"/>
    <x v="50"/>
    <n v="4"/>
    <n v="55"/>
  </r>
  <r>
    <x v="2"/>
    <x v="43"/>
    <n v="13"/>
    <n v="160"/>
  </r>
  <r>
    <x v="1"/>
    <x v="44"/>
    <n v="5"/>
    <n v="68"/>
  </r>
  <r>
    <x v="2"/>
    <x v="44"/>
    <n v="2"/>
    <n v="59"/>
  </r>
  <r>
    <x v="4"/>
    <x v="21"/>
    <n v="4"/>
    <n v="46"/>
  </r>
  <r>
    <x v="1"/>
    <x v="22"/>
    <n v="4"/>
    <n v="36"/>
  </r>
  <r>
    <x v="2"/>
    <x v="22"/>
    <n v="1"/>
    <n v="25"/>
  </r>
  <r>
    <x v="3"/>
    <x v="23"/>
    <n v="9"/>
    <n v="128"/>
  </r>
  <r>
    <x v="4"/>
    <x v="23"/>
    <n v="7"/>
    <n v="118"/>
  </r>
  <r>
    <x v="2"/>
    <x v="53"/>
    <n v="1"/>
    <n v="69"/>
  </r>
  <r>
    <x v="1"/>
    <x v="45"/>
    <n v="55"/>
    <n v="656"/>
  </r>
  <r>
    <x v="1"/>
    <x v="24"/>
    <n v="10"/>
    <n v="115"/>
  </r>
  <r>
    <x v="2"/>
    <x v="24"/>
    <n v="7"/>
    <n v="121"/>
  </r>
  <r>
    <x v="2"/>
    <x v="25"/>
    <n v="7"/>
    <n v="14"/>
  </r>
  <r>
    <x v="0"/>
    <x v="54"/>
    <n v="211"/>
    <n v="7060"/>
  </r>
  <r>
    <x v="3"/>
    <x v="27"/>
    <n v="6"/>
    <n v="142"/>
  </r>
  <r>
    <x v="4"/>
    <x v="27"/>
    <n v="2"/>
    <n v="130"/>
  </r>
  <r>
    <x v="0"/>
    <x v="46"/>
    <n v="2"/>
    <n v="11"/>
  </r>
  <r>
    <x v="3"/>
    <x v="28"/>
    <n v="11"/>
    <n v="112"/>
  </r>
  <r>
    <x v="4"/>
    <x v="28"/>
    <n v="5"/>
    <n v="98"/>
  </r>
  <r>
    <x v="1"/>
    <x v="47"/>
    <n v="20"/>
    <n v="271"/>
  </r>
  <r>
    <x v="2"/>
    <x v="47"/>
    <n v="13"/>
    <n v="301"/>
  </r>
  <r>
    <x v="1"/>
    <x v="29"/>
    <n v="4"/>
    <n v="113"/>
  </r>
  <r>
    <x v="2"/>
    <x v="29"/>
    <n v="7"/>
    <n v="124"/>
  </r>
  <r>
    <x v="1"/>
    <x v="30"/>
    <n v="13"/>
    <n v="177"/>
  </r>
  <r>
    <x v="4"/>
    <x v="32"/>
    <n v="2"/>
    <n v="56"/>
  </r>
  <r>
    <x v="3"/>
    <x v="33"/>
    <n v="86"/>
    <n v="1696"/>
  </r>
  <r>
    <x v="3"/>
    <x v="35"/>
    <n v="4"/>
    <n v="428"/>
  </r>
  <r>
    <x v="2"/>
    <x v="36"/>
    <n v="11"/>
    <n v="301"/>
  </r>
  <r>
    <x v="4"/>
    <x v="49"/>
    <n v="0"/>
    <n v="1"/>
  </r>
  <r>
    <x v="3"/>
    <x v="38"/>
    <n v="26"/>
    <n v="306"/>
  </r>
  <r>
    <x v="4"/>
    <x v="38"/>
    <n v="10"/>
    <n v="353"/>
  </r>
  <r>
    <x v="1"/>
    <x v="39"/>
    <n v="28"/>
    <n v="572"/>
  </r>
  <r>
    <x v="2"/>
    <x v="39"/>
    <n v="27"/>
    <n v="497"/>
  </r>
  <r>
    <x v="0"/>
    <x v="57"/>
    <n v="8"/>
    <n v="77"/>
  </r>
  <r>
    <x v="0"/>
    <x v="42"/>
    <n v="5"/>
    <n v="86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  <x v="0"/>
    <x v="0"/>
  </r>
  <r>
    <x v="0"/>
    <x v="1"/>
    <x v="1"/>
  </r>
  <r>
    <x v="1"/>
    <x v="1"/>
    <x v="2"/>
  </r>
  <r>
    <x v="2"/>
    <x v="1"/>
    <x v="3"/>
  </r>
  <r>
    <x v="0"/>
    <x v="2"/>
    <x v="4"/>
  </r>
  <r>
    <x v="1"/>
    <x v="2"/>
    <x v="5"/>
  </r>
  <r>
    <x v="2"/>
    <x v="2"/>
    <x v="2"/>
  </r>
  <r>
    <x v="0"/>
    <x v="3"/>
    <x v="6"/>
  </r>
  <r>
    <x v="1"/>
    <x v="3"/>
    <x v="7"/>
  </r>
  <r>
    <x v="2"/>
    <x v="3"/>
    <x v="8"/>
  </r>
  <r>
    <x v="0"/>
    <x v="4"/>
    <x v="9"/>
  </r>
  <r>
    <x v="1"/>
    <x v="4"/>
    <x v="10"/>
  </r>
  <r>
    <x v="2"/>
    <x v="4"/>
    <x v="5"/>
  </r>
  <r>
    <x v="0"/>
    <x v="5"/>
    <x v="11"/>
  </r>
  <r>
    <x v="1"/>
    <x v="5"/>
    <x v="12"/>
  </r>
  <r>
    <x v="2"/>
    <x v="5"/>
    <x v="10"/>
  </r>
  <r>
    <x v="0"/>
    <x v="6"/>
    <x v="13"/>
  </r>
  <r>
    <x v="1"/>
    <x v="6"/>
    <x v="14"/>
  </r>
  <r>
    <x v="2"/>
    <x v="6"/>
    <x v="12"/>
  </r>
  <r>
    <x v="0"/>
    <x v="7"/>
    <x v="15"/>
  </r>
  <r>
    <x v="1"/>
    <x v="7"/>
    <x v="16"/>
  </r>
  <r>
    <x v="2"/>
    <x v="7"/>
    <x v="17"/>
  </r>
  <r>
    <x v="0"/>
    <x v="8"/>
    <x v="18"/>
  </r>
  <r>
    <x v="1"/>
    <x v="8"/>
    <x v="19"/>
  </r>
  <r>
    <x v="2"/>
    <x v="8"/>
    <x v="3"/>
  </r>
  <r>
    <x v="0"/>
    <x v="9"/>
    <x v="20"/>
  </r>
  <r>
    <x v="1"/>
    <x v="9"/>
    <x v="21"/>
  </r>
  <r>
    <x v="2"/>
    <x v="9"/>
    <x v="22"/>
  </r>
  <r>
    <x v="0"/>
    <x v="10"/>
    <x v="23"/>
  </r>
  <r>
    <x v="1"/>
    <x v="10"/>
    <x v="21"/>
  </r>
  <r>
    <x v="2"/>
    <x v="10"/>
    <x v="16"/>
  </r>
  <r>
    <x v="0"/>
    <x v="11"/>
    <x v="24"/>
  </r>
  <r>
    <x v="1"/>
    <x v="11"/>
    <x v="16"/>
  </r>
  <r>
    <x v="2"/>
    <x v="11"/>
    <x v="14"/>
  </r>
  <r>
    <x v="0"/>
    <x v="12"/>
    <x v="0"/>
  </r>
  <r>
    <x v="1"/>
    <x v="12"/>
    <x v="16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">
  <r>
    <x v="0"/>
    <x v="0"/>
    <x v="0"/>
    <n v="587"/>
  </r>
  <r>
    <x v="0"/>
    <x v="1"/>
    <x v="0"/>
    <n v="174"/>
  </r>
  <r>
    <x v="1"/>
    <x v="0"/>
    <x v="0"/>
    <n v="547"/>
  </r>
  <r>
    <x v="1"/>
    <x v="1"/>
    <x v="0"/>
    <n v="142"/>
  </r>
  <r>
    <x v="2"/>
    <x v="2"/>
    <x v="1"/>
    <n v="328"/>
  </r>
  <r>
    <x v="2"/>
    <x v="3"/>
    <x v="1"/>
    <n v="140"/>
  </r>
  <r>
    <x v="0"/>
    <x v="2"/>
    <x v="1"/>
    <n v="446"/>
  </r>
  <r>
    <x v="0"/>
    <x v="0"/>
    <x v="1"/>
    <n v="11874"/>
  </r>
  <r>
    <x v="0"/>
    <x v="1"/>
    <x v="1"/>
    <n v="3468"/>
  </r>
  <r>
    <x v="0"/>
    <x v="4"/>
    <x v="0"/>
    <n v="66"/>
  </r>
  <r>
    <x v="3"/>
    <x v="5"/>
    <x v="0"/>
    <n v="265"/>
  </r>
  <r>
    <x v="3"/>
    <x v="3"/>
    <x v="0"/>
    <n v="9"/>
  </r>
  <r>
    <x v="3"/>
    <x v="6"/>
    <x v="0"/>
    <n v="93"/>
  </r>
  <r>
    <x v="1"/>
    <x v="2"/>
    <x v="1"/>
    <n v="384"/>
  </r>
  <r>
    <x v="1"/>
    <x v="7"/>
    <x v="1"/>
    <n v="525"/>
  </r>
  <r>
    <x v="1"/>
    <x v="4"/>
    <x v="0"/>
    <n v="60"/>
  </r>
  <r>
    <x v="4"/>
    <x v="5"/>
    <x v="0"/>
    <n v="225"/>
  </r>
  <r>
    <x v="4"/>
    <x v="6"/>
    <x v="0"/>
    <n v="109"/>
  </r>
  <r>
    <x v="2"/>
    <x v="7"/>
    <x v="1"/>
    <n v="473"/>
  </r>
  <r>
    <x v="0"/>
    <x v="5"/>
    <x v="1"/>
    <n v="1059"/>
  </r>
  <r>
    <x v="0"/>
    <x v="6"/>
    <x v="1"/>
    <n v="5582"/>
  </r>
  <r>
    <x v="3"/>
    <x v="5"/>
    <x v="1"/>
    <n v="1065"/>
  </r>
  <r>
    <x v="3"/>
    <x v="6"/>
    <x v="1"/>
    <n v="5810"/>
  </r>
  <r>
    <x v="3"/>
    <x v="1"/>
    <x v="1"/>
    <n v="3381"/>
  </r>
  <r>
    <x v="1"/>
    <x v="2"/>
    <x v="0"/>
    <n v="25"/>
  </r>
  <r>
    <x v="4"/>
    <x v="2"/>
    <x v="0"/>
    <n v="33"/>
  </r>
  <r>
    <x v="2"/>
    <x v="0"/>
    <x v="1"/>
    <n v="13460"/>
  </r>
  <r>
    <x v="2"/>
    <x v="7"/>
    <x v="0"/>
    <n v="82"/>
  </r>
  <r>
    <x v="2"/>
    <x v="8"/>
    <x v="1"/>
    <n v="2"/>
  </r>
  <r>
    <x v="2"/>
    <x v="1"/>
    <x v="1"/>
    <n v="3502"/>
  </r>
  <r>
    <x v="2"/>
    <x v="4"/>
    <x v="0"/>
    <n v="88"/>
  </r>
  <r>
    <x v="0"/>
    <x v="2"/>
    <x v="0"/>
    <n v="29"/>
  </r>
  <r>
    <x v="0"/>
    <x v="7"/>
    <x v="0"/>
    <n v="62"/>
  </r>
  <r>
    <x v="0"/>
    <x v="4"/>
    <x v="1"/>
    <n v="3834"/>
  </r>
  <r>
    <x v="3"/>
    <x v="3"/>
    <x v="1"/>
    <n v="175"/>
  </r>
  <r>
    <x v="1"/>
    <x v="7"/>
    <x v="0"/>
    <n v="63"/>
  </r>
  <r>
    <x v="1"/>
    <x v="4"/>
    <x v="1"/>
    <n v="3964"/>
  </r>
  <r>
    <x v="4"/>
    <x v="5"/>
    <x v="1"/>
    <n v="772"/>
  </r>
  <r>
    <x v="4"/>
    <x v="3"/>
    <x v="1"/>
    <n v="159"/>
  </r>
  <r>
    <x v="4"/>
    <x v="6"/>
    <x v="1"/>
    <n v="4708"/>
  </r>
  <r>
    <x v="2"/>
    <x v="4"/>
    <x v="1"/>
    <n v="3751"/>
  </r>
  <r>
    <x v="3"/>
    <x v="0"/>
    <x v="1"/>
    <n v="12126"/>
  </r>
  <r>
    <x v="3"/>
    <x v="7"/>
    <x v="1"/>
    <n v="526"/>
  </r>
  <r>
    <x v="3"/>
    <x v="7"/>
    <x v="0"/>
    <n v="78"/>
  </r>
  <r>
    <x v="3"/>
    <x v="4"/>
    <x v="1"/>
    <n v="3891"/>
  </r>
  <r>
    <x v="3"/>
    <x v="4"/>
    <x v="0"/>
    <n v="82"/>
  </r>
  <r>
    <x v="1"/>
    <x v="3"/>
    <x v="1"/>
    <n v="173"/>
  </r>
  <r>
    <x v="1"/>
    <x v="3"/>
    <x v="0"/>
    <n v="10"/>
  </r>
  <r>
    <x v="2"/>
    <x v="0"/>
    <x v="0"/>
    <n v="630"/>
  </r>
  <r>
    <x v="2"/>
    <x v="5"/>
    <x v="1"/>
    <n v="781"/>
  </r>
  <r>
    <x v="2"/>
    <x v="5"/>
    <x v="0"/>
    <n v="190"/>
  </r>
  <r>
    <x v="2"/>
    <x v="6"/>
    <x v="1"/>
    <n v="6145"/>
  </r>
  <r>
    <x v="2"/>
    <x v="6"/>
    <x v="0"/>
    <n v="151"/>
  </r>
  <r>
    <x v="2"/>
    <x v="1"/>
    <x v="0"/>
    <n v="172"/>
  </r>
  <r>
    <x v="0"/>
    <x v="3"/>
    <x v="1"/>
    <n v="169"/>
  </r>
  <r>
    <x v="0"/>
    <x v="3"/>
    <x v="0"/>
    <n v="14"/>
  </r>
  <r>
    <x v="3"/>
    <x v="2"/>
    <x v="1"/>
    <n v="451"/>
  </r>
  <r>
    <x v="3"/>
    <x v="2"/>
    <x v="0"/>
    <n v="25"/>
  </r>
  <r>
    <x v="1"/>
    <x v="5"/>
    <x v="0"/>
    <n v="253"/>
  </r>
  <r>
    <x v="1"/>
    <x v="6"/>
    <x v="0"/>
    <n v="87"/>
  </r>
  <r>
    <x v="4"/>
    <x v="7"/>
    <x v="1"/>
    <n v="423"/>
  </r>
  <r>
    <x v="4"/>
    <x v="7"/>
    <x v="0"/>
    <n v="65"/>
  </r>
  <r>
    <x v="4"/>
    <x v="4"/>
    <x v="1"/>
    <n v="2862"/>
  </r>
  <r>
    <x v="0"/>
    <x v="5"/>
    <x v="0"/>
    <n v="249"/>
  </r>
  <r>
    <x v="0"/>
    <x v="6"/>
    <x v="0"/>
    <n v="113"/>
  </r>
  <r>
    <x v="3"/>
    <x v="0"/>
    <x v="0"/>
    <n v="533"/>
  </r>
  <r>
    <x v="3"/>
    <x v="1"/>
    <x v="0"/>
    <n v="136"/>
  </r>
  <r>
    <x v="4"/>
    <x v="2"/>
    <x v="1"/>
    <n v="346"/>
  </r>
  <r>
    <x v="4"/>
    <x v="0"/>
    <x v="0"/>
    <n v="604"/>
  </r>
  <r>
    <x v="4"/>
    <x v="1"/>
    <x v="0"/>
    <n v="176"/>
  </r>
  <r>
    <x v="0"/>
    <x v="7"/>
    <x v="1"/>
    <n v="535"/>
  </r>
  <r>
    <x v="1"/>
    <x v="0"/>
    <x v="1"/>
    <n v="12079"/>
  </r>
  <r>
    <x v="1"/>
    <x v="5"/>
    <x v="1"/>
    <n v="1087"/>
  </r>
  <r>
    <x v="1"/>
    <x v="6"/>
    <x v="1"/>
    <n v="5803"/>
  </r>
  <r>
    <x v="1"/>
    <x v="1"/>
    <x v="1"/>
    <n v="3318"/>
  </r>
  <r>
    <x v="4"/>
    <x v="0"/>
    <x v="1"/>
    <n v="10924"/>
  </r>
  <r>
    <x v="4"/>
    <x v="3"/>
    <x v="0"/>
    <n v="10"/>
  </r>
  <r>
    <x v="4"/>
    <x v="1"/>
    <x v="1"/>
    <n v="3139"/>
  </r>
  <r>
    <x v="4"/>
    <x v="4"/>
    <x v="0"/>
    <n v="44"/>
  </r>
  <r>
    <x v="2"/>
    <x v="2"/>
    <x v="0"/>
    <n v="13"/>
  </r>
  <r>
    <x v="2"/>
    <x v="3"/>
    <x v="0"/>
    <n v="18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6">
  <r>
    <x v="0"/>
    <x v="0"/>
    <n v="0"/>
    <n v="75"/>
    <n v="6"/>
    <x v="0"/>
    <n v="1"/>
    <x v="0"/>
    <x v="0"/>
  </r>
  <r>
    <x v="1"/>
    <x v="0"/>
    <n v="236"/>
    <n v="54"/>
    <n v="18"/>
    <x v="1"/>
    <n v="11"/>
    <x v="1"/>
    <x v="0"/>
  </r>
  <r>
    <x v="2"/>
    <x v="0"/>
    <n v="200"/>
    <n v="48"/>
    <n v="20"/>
    <x v="2"/>
    <n v="11"/>
    <x v="2"/>
    <x v="0"/>
  </r>
  <r>
    <x v="3"/>
    <x v="1"/>
    <n v="0"/>
    <n v="1"/>
    <n v="0"/>
    <x v="3"/>
    <n v="0"/>
    <x v="0"/>
    <x v="0"/>
  </r>
  <r>
    <x v="4"/>
    <x v="1"/>
    <n v="18"/>
    <n v="8"/>
    <n v="4"/>
    <x v="3"/>
    <n v="1"/>
    <x v="0"/>
    <x v="0"/>
  </r>
  <r>
    <x v="5"/>
    <x v="1"/>
    <n v="8"/>
    <n v="3"/>
    <n v="3"/>
    <x v="4"/>
    <n v="3"/>
    <x v="0"/>
    <x v="0"/>
  </r>
  <r>
    <x v="6"/>
    <x v="1"/>
    <n v="0"/>
    <n v="2"/>
    <n v="0"/>
    <x v="3"/>
    <n v="1"/>
    <x v="0"/>
    <x v="0"/>
  </r>
  <r>
    <x v="7"/>
    <x v="1"/>
    <n v="23"/>
    <n v="4"/>
    <n v="2"/>
    <x v="3"/>
    <n v="3"/>
    <x v="0"/>
    <x v="0"/>
  </r>
  <r>
    <x v="8"/>
    <x v="1"/>
    <n v="17"/>
    <n v="4"/>
    <n v="7"/>
    <x v="3"/>
    <n v="5"/>
    <x v="0"/>
    <x v="0"/>
  </r>
  <r>
    <x v="9"/>
    <x v="1"/>
    <n v="8"/>
    <n v="2"/>
    <n v="3"/>
    <x v="3"/>
    <n v="3"/>
    <x v="0"/>
    <x v="0"/>
  </r>
  <r>
    <x v="10"/>
    <x v="1"/>
    <n v="6"/>
    <n v="2"/>
    <n v="3"/>
    <x v="4"/>
    <n v="2"/>
    <x v="0"/>
    <x v="0"/>
  </r>
  <r>
    <x v="11"/>
    <x v="1"/>
    <n v="15"/>
    <n v="1"/>
    <n v="6"/>
    <x v="5"/>
    <n v="7"/>
    <x v="0"/>
    <x v="0"/>
  </r>
  <r>
    <x v="12"/>
    <x v="1"/>
    <n v="15"/>
    <n v="0"/>
    <n v="9"/>
    <x v="4"/>
    <n v="5"/>
    <x v="0"/>
    <x v="0"/>
  </r>
  <r>
    <x v="13"/>
    <x v="1"/>
    <n v="0"/>
    <n v="4"/>
    <n v="0"/>
    <x v="3"/>
    <n v="0"/>
    <x v="0"/>
    <x v="0"/>
  </r>
  <r>
    <x v="14"/>
    <x v="1"/>
    <n v="0"/>
    <n v="3"/>
    <n v="0"/>
    <x v="3"/>
    <n v="0"/>
    <x v="0"/>
    <x v="0"/>
  </r>
  <r>
    <x v="15"/>
    <x v="1"/>
    <n v="0"/>
    <n v="2"/>
    <n v="0"/>
    <x v="3"/>
    <n v="0"/>
    <x v="0"/>
    <x v="0"/>
  </r>
  <r>
    <x v="16"/>
    <x v="1"/>
    <n v="0"/>
    <n v="1"/>
    <n v="1"/>
    <x v="3"/>
    <n v="0"/>
    <x v="0"/>
    <x v="0"/>
  </r>
  <r>
    <x v="17"/>
    <x v="0"/>
    <n v="9"/>
    <n v="119"/>
    <n v="10"/>
    <x v="2"/>
    <n v="3"/>
    <x v="0"/>
    <x v="0"/>
  </r>
  <r>
    <x v="18"/>
    <x v="0"/>
    <n v="48"/>
    <n v="164"/>
    <n v="8"/>
    <x v="6"/>
    <n v="4"/>
    <x v="3"/>
    <x v="0"/>
  </r>
  <r>
    <x v="19"/>
    <x v="0"/>
    <n v="410"/>
    <n v="241"/>
    <n v="17"/>
    <x v="7"/>
    <n v="10"/>
    <x v="2"/>
    <x v="0"/>
  </r>
  <r>
    <x v="20"/>
    <x v="0"/>
    <n v="754"/>
    <n v="240"/>
    <n v="23"/>
    <x v="8"/>
    <n v="27"/>
    <x v="3"/>
    <x v="0"/>
  </r>
  <r>
    <x v="21"/>
    <x v="0"/>
    <n v="759"/>
    <n v="231"/>
    <n v="31"/>
    <x v="1"/>
    <n v="29"/>
    <x v="4"/>
    <x v="1"/>
  </r>
  <r>
    <x v="22"/>
    <x v="0"/>
    <n v="781"/>
    <n v="172"/>
    <n v="32"/>
    <x v="5"/>
    <n v="35"/>
    <x v="5"/>
    <x v="0"/>
  </r>
  <r>
    <x v="23"/>
    <x v="0"/>
    <n v="554"/>
    <n v="137"/>
    <n v="31"/>
    <x v="9"/>
    <n v="29"/>
    <x v="6"/>
    <x v="0"/>
  </r>
  <r>
    <x v="24"/>
    <x v="0"/>
    <n v="516"/>
    <n v="114"/>
    <n v="31"/>
    <x v="10"/>
    <n v="28"/>
    <x v="3"/>
    <x v="0"/>
  </r>
  <r>
    <x v="25"/>
    <x v="0"/>
    <n v="450"/>
    <n v="80"/>
    <n v="22"/>
    <x v="1"/>
    <n v="22"/>
    <x v="1"/>
    <x v="0"/>
  </r>
  <r>
    <x v="26"/>
    <x v="0"/>
    <n v="361"/>
    <n v="72"/>
    <n v="12"/>
    <x v="11"/>
    <n v="18"/>
    <x v="1"/>
    <x v="0"/>
  </r>
  <r>
    <x v="27"/>
    <x v="0"/>
    <n v="266"/>
    <n v="66"/>
    <n v="15"/>
    <x v="12"/>
    <n v="10"/>
    <x v="6"/>
    <x v="0"/>
  </r>
  <r>
    <x v="28"/>
    <x v="0"/>
    <n v="246"/>
    <n v="57"/>
    <n v="20"/>
    <x v="8"/>
    <n v="23"/>
    <x v="6"/>
    <x v="0"/>
  </r>
  <r>
    <x v="29"/>
    <x v="0"/>
    <n v="223"/>
    <n v="35"/>
    <n v="21"/>
    <x v="6"/>
    <n v="17"/>
    <x v="2"/>
    <x v="0"/>
  </r>
  <r>
    <x v="30"/>
    <x v="0"/>
    <n v="1621"/>
    <n v="504"/>
    <n v="170"/>
    <x v="13"/>
    <n v="84"/>
    <x v="7"/>
    <x v="0"/>
  </r>
  <r>
    <x v="31"/>
    <x v="1"/>
    <n v="11"/>
    <n v="4"/>
    <n v="4"/>
    <x v="3"/>
    <n v="0"/>
    <x v="0"/>
    <x v="0"/>
  </r>
  <r>
    <x v="32"/>
    <x v="1"/>
    <n v="34"/>
    <n v="10"/>
    <n v="4"/>
    <x v="3"/>
    <n v="9"/>
    <x v="0"/>
    <x v="0"/>
  </r>
  <r>
    <x v="33"/>
    <x v="1"/>
    <n v="23"/>
    <n v="6"/>
    <n v="3"/>
    <x v="3"/>
    <n v="6"/>
    <x v="0"/>
    <x v="0"/>
  </r>
  <r>
    <x v="34"/>
    <x v="1"/>
    <n v="14"/>
    <n v="2"/>
    <n v="2"/>
    <x v="3"/>
    <n v="3"/>
    <x v="0"/>
    <x v="0"/>
  </r>
  <r>
    <x v="35"/>
    <x v="1"/>
    <n v="12"/>
    <n v="4"/>
    <n v="4"/>
    <x v="4"/>
    <n v="7"/>
    <x v="0"/>
    <x v="0"/>
  </r>
  <r>
    <x v="2"/>
    <x v="1"/>
    <n v="9"/>
    <n v="2"/>
    <n v="5"/>
    <x v="3"/>
    <n v="2"/>
    <x v="0"/>
    <x v="0"/>
  </r>
  <r>
    <x v="36"/>
    <x v="0"/>
    <n v="709"/>
    <n v="265"/>
    <n v="25"/>
    <x v="12"/>
    <n v="18"/>
    <x v="6"/>
    <x v="0"/>
  </r>
  <r>
    <x v="37"/>
    <x v="0"/>
    <n v="194"/>
    <n v="43"/>
    <n v="22"/>
    <x v="10"/>
    <n v="9"/>
    <x v="2"/>
    <x v="0"/>
  </r>
  <r>
    <x v="13"/>
    <x v="0"/>
    <n v="2"/>
    <n v="79"/>
    <n v="3"/>
    <x v="3"/>
    <n v="1"/>
    <x v="0"/>
    <x v="0"/>
  </r>
  <r>
    <x v="14"/>
    <x v="0"/>
    <n v="0"/>
    <n v="83"/>
    <n v="2"/>
    <x v="4"/>
    <n v="1"/>
    <x v="0"/>
    <x v="0"/>
  </r>
  <r>
    <x v="15"/>
    <x v="0"/>
    <n v="0"/>
    <n v="80"/>
    <n v="2"/>
    <x v="7"/>
    <n v="1"/>
    <x v="0"/>
    <x v="0"/>
  </r>
  <r>
    <x v="38"/>
    <x v="1"/>
    <n v="26"/>
    <n v="13"/>
    <n v="7"/>
    <x v="3"/>
    <n v="4"/>
    <x v="0"/>
    <x v="0"/>
  </r>
  <r>
    <x v="39"/>
    <x v="1"/>
    <n v="23"/>
    <n v="7"/>
    <n v="4"/>
    <x v="4"/>
    <n v="3"/>
    <x v="0"/>
    <x v="0"/>
  </r>
  <r>
    <x v="40"/>
    <x v="1"/>
    <n v="0"/>
    <n v="5"/>
    <n v="0"/>
    <x v="3"/>
    <n v="0"/>
    <x v="0"/>
    <x v="0"/>
  </r>
  <r>
    <x v="41"/>
    <x v="1"/>
    <n v="9"/>
    <n v="2"/>
    <n v="3"/>
    <x v="4"/>
    <n v="2"/>
    <x v="0"/>
    <x v="0"/>
  </r>
  <r>
    <x v="42"/>
    <x v="1"/>
    <n v="10"/>
    <n v="1"/>
    <n v="5"/>
    <x v="4"/>
    <n v="0"/>
    <x v="0"/>
    <x v="0"/>
  </r>
  <r>
    <x v="6"/>
    <x v="0"/>
    <n v="1"/>
    <n v="88"/>
    <n v="5"/>
    <x v="14"/>
    <n v="6"/>
    <x v="0"/>
    <x v="0"/>
  </r>
  <r>
    <x v="7"/>
    <x v="0"/>
    <n v="812"/>
    <n v="227"/>
    <n v="22"/>
    <x v="2"/>
    <n v="31"/>
    <x v="8"/>
    <x v="0"/>
  </r>
  <r>
    <x v="39"/>
    <x v="0"/>
    <n v="516"/>
    <n v="102"/>
    <n v="31"/>
    <x v="6"/>
    <n v="32"/>
    <x v="6"/>
    <x v="0"/>
  </r>
  <r>
    <x v="9"/>
    <x v="0"/>
    <n v="286"/>
    <n v="66"/>
    <n v="18"/>
    <x v="1"/>
    <n v="17"/>
    <x v="8"/>
    <x v="0"/>
  </r>
  <r>
    <x v="10"/>
    <x v="0"/>
    <n v="242"/>
    <n v="61"/>
    <n v="15"/>
    <x v="9"/>
    <n v="16"/>
    <x v="2"/>
    <x v="0"/>
  </r>
  <r>
    <x v="41"/>
    <x v="0"/>
    <n v="204"/>
    <n v="51"/>
    <n v="23"/>
    <x v="9"/>
    <n v="16"/>
    <x v="6"/>
    <x v="0"/>
  </r>
  <r>
    <x v="42"/>
    <x v="0"/>
    <n v="208"/>
    <n v="44"/>
    <n v="20"/>
    <x v="8"/>
    <n v="7"/>
    <x v="1"/>
    <x v="0"/>
  </r>
  <r>
    <x v="43"/>
    <x v="1"/>
    <n v="0"/>
    <n v="1"/>
    <n v="0"/>
    <x v="3"/>
    <n v="0"/>
    <x v="0"/>
    <x v="0"/>
  </r>
  <r>
    <x v="44"/>
    <x v="1"/>
    <n v="0"/>
    <n v="3"/>
    <n v="0"/>
    <x v="4"/>
    <n v="0"/>
    <x v="0"/>
    <x v="0"/>
  </r>
  <r>
    <x v="45"/>
    <x v="1"/>
    <n v="5"/>
    <n v="8"/>
    <n v="0"/>
    <x v="3"/>
    <n v="0"/>
    <x v="0"/>
    <x v="0"/>
  </r>
  <r>
    <x v="46"/>
    <x v="1"/>
    <n v="23"/>
    <n v="7"/>
    <n v="2"/>
    <x v="3"/>
    <n v="1"/>
    <x v="0"/>
    <x v="0"/>
  </r>
  <r>
    <x v="47"/>
    <x v="1"/>
    <n v="25"/>
    <n v="8"/>
    <n v="6"/>
    <x v="3"/>
    <n v="5"/>
    <x v="0"/>
    <x v="0"/>
  </r>
  <r>
    <x v="23"/>
    <x v="1"/>
    <n v="19"/>
    <n v="7"/>
    <n v="8"/>
    <x v="4"/>
    <n v="4"/>
    <x v="0"/>
    <x v="0"/>
  </r>
  <r>
    <x v="25"/>
    <x v="1"/>
    <n v="18"/>
    <n v="4"/>
    <n v="5"/>
    <x v="3"/>
    <n v="5"/>
    <x v="0"/>
    <x v="0"/>
  </r>
  <r>
    <x v="48"/>
    <x v="1"/>
    <n v="12"/>
    <n v="3"/>
    <n v="7"/>
    <x v="3"/>
    <n v="6"/>
    <x v="0"/>
    <x v="0"/>
  </r>
  <r>
    <x v="49"/>
    <x v="1"/>
    <n v="9"/>
    <n v="2"/>
    <n v="5"/>
    <x v="3"/>
    <n v="1"/>
    <x v="0"/>
    <x v="0"/>
  </r>
  <r>
    <x v="28"/>
    <x v="1"/>
    <n v="9"/>
    <n v="1"/>
    <n v="3"/>
    <x v="3"/>
    <n v="2"/>
    <x v="0"/>
    <x v="0"/>
  </r>
  <r>
    <x v="29"/>
    <x v="1"/>
    <n v="15"/>
    <n v="1"/>
    <n v="7"/>
    <x v="3"/>
    <n v="5"/>
    <x v="0"/>
    <x v="0"/>
  </r>
  <r>
    <x v="3"/>
    <x v="0"/>
    <n v="2"/>
    <n v="105"/>
    <n v="1"/>
    <x v="4"/>
    <n v="0"/>
    <x v="0"/>
    <x v="0"/>
  </r>
  <r>
    <x v="4"/>
    <x v="0"/>
    <n v="535"/>
    <n v="254"/>
    <n v="25"/>
    <x v="7"/>
    <n v="10"/>
    <x v="0"/>
    <x v="0"/>
  </r>
  <r>
    <x v="50"/>
    <x v="0"/>
    <n v="355"/>
    <n v="68"/>
    <n v="23"/>
    <x v="5"/>
    <n v="18"/>
    <x v="1"/>
    <x v="0"/>
  </r>
  <r>
    <x v="51"/>
    <x v="0"/>
    <n v="382"/>
    <n v="75"/>
    <n v="23"/>
    <x v="6"/>
    <n v="18"/>
    <x v="6"/>
    <x v="1"/>
  </r>
  <r>
    <x v="5"/>
    <x v="0"/>
    <n v="254"/>
    <n v="62"/>
    <n v="16"/>
    <x v="0"/>
    <n v="14"/>
    <x v="1"/>
    <x v="0"/>
  </r>
  <r>
    <x v="40"/>
    <x v="0"/>
    <n v="0"/>
    <n v="72"/>
    <n v="1"/>
    <x v="3"/>
    <n v="0"/>
    <x v="0"/>
    <x v="0"/>
  </r>
  <r>
    <x v="52"/>
    <x v="0"/>
    <n v="204"/>
    <n v="45"/>
    <n v="28"/>
    <x v="8"/>
    <n v="17"/>
    <x v="6"/>
    <x v="0"/>
  </r>
  <r>
    <x v="53"/>
    <x v="0"/>
    <n v="2"/>
    <n v="95"/>
    <n v="3"/>
    <x v="7"/>
    <n v="0"/>
    <x v="2"/>
    <x v="0"/>
  </r>
  <r>
    <x v="54"/>
    <x v="1"/>
    <n v="0"/>
    <n v="3"/>
    <n v="0"/>
    <x v="3"/>
    <n v="0"/>
    <x v="0"/>
    <x v="0"/>
  </r>
  <r>
    <x v="36"/>
    <x v="1"/>
    <n v="23"/>
    <n v="9"/>
    <n v="0"/>
    <x v="3"/>
    <n v="5"/>
    <x v="0"/>
    <x v="0"/>
  </r>
  <r>
    <x v="24"/>
    <x v="1"/>
    <n v="20"/>
    <n v="3"/>
    <n v="7"/>
    <x v="3"/>
    <n v="5"/>
    <x v="2"/>
    <x v="0"/>
  </r>
  <r>
    <x v="54"/>
    <x v="0"/>
    <n v="13"/>
    <n v="214"/>
    <n v="7"/>
    <x v="4"/>
    <n v="2"/>
    <x v="2"/>
    <x v="0"/>
  </r>
  <r>
    <x v="43"/>
    <x v="0"/>
    <n v="1"/>
    <n v="87"/>
    <n v="1"/>
    <x v="7"/>
    <n v="4"/>
    <x v="0"/>
    <x v="0"/>
  </r>
  <r>
    <x v="44"/>
    <x v="0"/>
    <n v="6"/>
    <n v="118"/>
    <n v="9"/>
    <x v="12"/>
    <n v="2"/>
    <x v="0"/>
    <x v="0"/>
  </r>
  <r>
    <x v="45"/>
    <x v="0"/>
    <n v="110"/>
    <n v="208"/>
    <n v="12"/>
    <x v="1"/>
    <n v="5"/>
    <x v="2"/>
    <x v="0"/>
  </r>
  <r>
    <x v="46"/>
    <x v="0"/>
    <n v="743"/>
    <n v="257"/>
    <n v="26"/>
    <x v="6"/>
    <n v="28"/>
    <x v="8"/>
    <x v="0"/>
  </r>
  <r>
    <x v="47"/>
    <x v="0"/>
    <n v="704"/>
    <n v="155"/>
    <n v="48"/>
    <x v="10"/>
    <n v="34"/>
    <x v="6"/>
    <x v="0"/>
  </r>
  <r>
    <x v="8"/>
    <x v="0"/>
    <n v="414"/>
    <n v="105"/>
    <n v="26"/>
    <x v="8"/>
    <n v="29"/>
    <x v="1"/>
    <x v="0"/>
  </r>
  <r>
    <x v="48"/>
    <x v="0"/>
    <n v="317"/>
    <n v="68"/>
    <n v="26"/>
    <x v="15"/>
    <n v="21"/>
    <x v="2"/>
    <x v="0"/>
  </r>
  <r>
    <x v="49"/>
    <x v="0"/>
    <n v="275"/>
    <n v="72"/>
    <n v="17"/>
    <x v="10"/>
    <n v="12"/>
    <x v="2"/>
    <x v="0"/>
  </r>
  <r>
    <x v="11"/>
    <x v="0"/>
    <n v="225"/>
    <n v="60"/>
    <n v="12"/>
    <x v="14"/>
    <n v="14"/>
    <x v="1"/>
    <x v="0"/>
  </r>
  <r>
    <x v="12"/>
    <x v="0"/>
    <n v="220"/>
    <n v="36"/>
    <n v="27"/>
    <x v="1"/>
    <n v="18"/>
    <x v="6"/>
    <x v="0"/>
  </r>
  <r>
    <x v="16"/>
    <x v="0"/>
    <n v="29"/>
    <n v="228"/>
    <n v="20"/>
    <x v="5"/>
    <n v="4"/>
    <x v="9"/>
    <x v="0"/>
  </r>
  <r>
    <x v="17"/>
    <x v="1"/>
    <n v="0"/>
    <n v="3"/>
    <n v="0"/>
    <x v="4"/>
    <n v="0"/>
    <x v="0"/>
    <x v="0"/>
  </r>
  <r>
    <x v="18"/>
    <x v="1"/>
    <n v="1"/>
    <n v="8"/>
    <n v="2"/>
    <x v="4"/>
    <n v="0"/>
    <x v="0"/>
    <x v="0"/>
  </r>
  <r>
    <x v="19"/>
    <x v="1"/>
    <n v="15"/>
    <n v="11"/>
    <n v="4"/>
    <x v="3"/>
    <n v="0"/>
    <x v="2"/>
    <x v="0"/>
  </r>
  <r>
    <x v="20"/>
    <x v="1"/>
    <n v="27"/>
    <n v="6"/>
    <n v="5"/>
    <x v="4"/>
    <n v="3"/>
    <x v="0"/>
    <x v="0"/>
  </r>
  <r>
    <x v="21"/>
    <x v="1"/>
    <n v="22"/>
    <n v="5"/>
    <n v="5"/>
    <x v="3"/>
    <n v="1"/>
    <x v="0"/>
    <x v="0"/>
  </r>
  <r>
    <x v="22"/>
    <x v="1"/>
    <n v="36"/>
    <n v="6"/>
    <n v="7"/>
    <x v="3"/>
    <n v="7"/>
    <x v="0"/>
    <x v="0"/>
  </r>
  <r>
    <x v="55"/>
    <x v="1"/>
    <n v="9"/>
    <n v="5"/>
    <n v="5"/>
    <x v="3"/>
    <n v="3"/>
    <x v="0"/>
    <x v="0"/>
  </r>
  <r>
    <x v="56"/>
    <x v="1"/>
    <n v="22"/>
    <n v="3"/>
    <n v="4"/>
    <x v="3"/>
    <n v="5"/>
    <x v="0"/>
    <x v="0"/>
  </r>
  <r>
    <x v="26"/>
    <x v="1"/>
    <n v="17"/>
    <n v="3"/>
    <n v="10"/>
    <x v="3"/>
    <n v="8"/>
    <x v="0"/>
    <x v="0"/>
  </r>
  <r>
    <x v="27"/>
    <x v="1"/>
    <n v="15"/>
    <n v="2"/>
    <n v="6"/>
    <x v="7"/>
    <n v="4"/>
    <x v="0"/>
    <x v="0"/>
  </r>
  <r>
    <x v="57"/>
    <x v="1"/>
    <n v="11"/>
    <n v="3"/>
    <n v="6"/>
    <x v="7"/>
    <n v="4"/>
    <x v="0"/>
    <x v="0"/>
  </r>
  <r>
    <x v="37"/>
    <x v="1"/>
    <n v="9"/>
    <n v="2"/>
    <n v="7"/>
    <x v="3"/>
    <n v="4"/>
    <x v="0"/>
    <x v="0"/>
  </r>
  <r>
    <x v="30"/>
    <x v="1"/>
    <n v="82"/>
    <n v="23"/>
    <n v="59"/>
    <x v="8"/>
    <n v="18"/>
    <x v="6"/>
    <x v="0"/>
  </r>
  <r>
    <x v="53"/>
    <x v="1"/>
    <n v="0"/>
    <n v="4"/>
    <n v="0"/>
    <x v="3"/>
    <n v="0"/>
    <x v="0"/>
    <x v="0"/>
  </r>
  <r>
    <x v="31"/>
    <x v="0"/>
    <n v="254"/>
    <n v="203"/>
    <n v="14"/>
    <x v="5"/>
    <n v="4"/>
    <x v="2"/>
    <x v="0"/>
  </r>
  <r>
    <x v="32"/>
    <x v="0"/>
    <n v="735"/>
    <n v="172"/>
    <n v="40"/>
    <x v="10"/>
    <n v="32"/>
    <x v="4"/>
    <x v="0"/>
  </r>
  <r>
    <x v="33"/>
    <x v="0"/>
    <n v="737"/>
    <n v="182"/>
    <n v="39"/>
    <x v="1"/>
    <n v="40"/>
    <x v="10"/>
    <x v="0"/>
  </r>
  <r>
    <x v="38"/>
    <x v="0"/>
    <n v="641"/>
    <n v="142"/>
    <n v="34"/>
    <x v="16"/>
    <n v="35"/>
    <x v="1"/>
    <x v="0"/>
  </r>
  <r>
    <x v="55"/>
    <x v="0"/>
    <n v="575"/>
    <n v="149"/>
    <n v="26"/>
    <x v="11"/>
    <n v="39"/>
    <x v="2"/>
    <x v="0"/>
  </r>
  <r>
    <x v="56"/>
    <x v="0"/>
    <n v="424"/>
    <n v="87"/>
    <n v="28"/>
    <x v="10"/>
    <n v="28"/>
    <x v="8"/>
    <x v="0"/>
  </r>
  <r>
    <x v="34"/>
    <x v="0"/>
    <n v="358"/>
    <n v="74"/>
    <n v="22"/>
    <x v="5"/>
    <n v="25"/>
    <x v="6"/>
    <x v="0"/>
  </r>
  <r>
    <x v="35"/>
    <x v="0"/>
    <n v="231"/>
    <n v="50"/>
    <n v="15"/>
    <x v="2"/>
    <n v="16"/>
    <x v="3"/>
    <x v="0"/>
  </r>
  <r>
    <x v="57"/>
    <x v="0"/>
    <n v="251"/>
    <n v="51"/>
    <n v="10"/>
    <x v="15"/>
    <n v="19"/>
    <x v="2"/>
    <x v="0"/>
  </r>
  <r>
    <x v="0"/>
    <x v="1"/>
    <n v="0"/>
    <n v="5"/>
    <n v="0"/>
    <x v="3"/>
    <n v="0"/>
    <x v="0"/>
    <x v="0"/>
  </r>
  <r>
    <x v="50"/>
    <x v="1"/>
    <n v="16"/>
    <n v="7"/>
    <n v="6"/>
    <x v="4"/>
    <n v="3"/>
    <x v="0"/>
    <x v="0"/>
  </r>
  <r>
    <x v="51"/>
    <x v="1"/>
    <n v="15"/>
    <n v="3"/>
    <n v="4"/>
    <x v="3"/>
    <n v="4"/>
    <x v="0"/>
    <x v="0"/>
  </r>
  <r>
    <x v="1"/>
    <x v="1"/>
    <n v="11"/>
    <n v="3"/>
    <n v="6"/>
    <x v="3"/>
    <n v="3"/>
    <x v="2"/>
    <x v="0"/>
  </r>
  <r>
    <x v="52"/>
    <x v="1"/>
    <n v="14"/>
    <n v="0"/>
    <n v="7"/>
    <x v="4"/>
    <n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5D28DE-95B2-423A-B0B9-8B778ACB593B}" name="PivotTable1" cacheId="74" applyNumberFormats="0" applyBorderFormats="0" applyFontFormats="0" applyPatternFormats="0" applyAlignmentFormats="0" applyWidthHeightFormats="1" dataCaption="Values" grandTotalCaption="Total" updatedVersion="8" minRefreshableVersion="3" useAutoFormatting="1" colGrandTotals="0" itemPrintTitles="1" createdVersion="6" indent="0" outline="1" outlineData="1" multipleFieldFilters="0" rowHeaderCaption="Month" colHeaderCaption=" " fieldListSortAscending="1">
  <location ref="A3:K18" firstHeaderRow="1" firstDataRow="3" firstDataCol="1"/>
  <pivotFields count="4">
    <pivotField axis="axisCol" showAll="0" sortType="ascending" defaultSubtotal="0">
      <items count="5">
        <item x="0"/>
        <item x="2"/>
        <item x="1"/>
        <item x="4"/>
        <item x="3"/>
      </items>
    </pivotField>
    <pivotField axis="axisRow" showAll="0" defaultSubtotal="0">
      <items count="12">
        <item x="0"/>
        <item x="1"/>
        <item x="11"/>
        <item x="3"/>
        <item x="9"/>
        <item x="4"/>
        <item x="2"/>
        <item x="5"/>
        <item x="6"/>
        <item x="10"/>
        <item x="7"/>
        <item x="8"/>
      </items>
    </pivotField>
    <pivotField axis="axisCol" subtotalTop="0" showAll="0" defaultSubtotal="0">
      <items count="2">
        <item x="1"/>
        <item x="0"/>
      </items>
    </pivotField>
    <pivotField dataField="1" subtotalTop="0" showAll="0" defaultSubtota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0"/>
    <field x="2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" fld="3" baseField="1" baseItem="0" numFmtId="3"/>
  </dataFields>
  <formats count="49">
    <format dxfId="692">
      <pivotArea type="all" dataOnly="0" outline="0" fieldPosition="0"/>
    </format>
    <format dxfId="691">
      <pivotArea outline="0" collapsedLevelsAreSubtotals="1" fieldPosition="0"/>
    </format>
    <format dxfId="690">
      <pivotArea type="origin" dataOnly="0" labelOnly="1" outline="0" fieldPosition="0"/>
    </format>
    <format dxfId="689">
      <pivotArea type="topRight" dataOnly="0" labelOnly="1" outline="0" fieldPosition="0"/>
    </format>
    <format dxfId="688">
      <pivotArea field="0" type="button" dataOnly="0" labelOnly="1" outline="0" axis="axisCol" fieldPosition="0"/>
    </format>
    <format dxfId="687">
      <pivotArea dataOnly="0" labelOnly="1" fieldPosition="0">
        <references count="1">
          <reference field="0" count="0"/>
        </references>
      </pivotArea>
    </format>
    <format dxfId="686">
      <pivotArea dataOnly="0" labelOnly="1" grandRow="1" outline="0" fieldPosition="0"/>
    </format>
    <format dxfId="685">
      <pivotArea dataOnly="0" labelOnly="1" grandCol="1" outline="0" fieldPosition="0"/>
    </format>
    <format dxfId="684">
      <pivotArea type="all" dataOnly="0" outline="0" fieldPosition="0"/>
    </format>
    <format dxfId="683">
      <pivotArea outline="0" collapsedLevelsAreSubtotals="1" fieldPosition="0"/>
    </format>
    <format dxfId="682">
      <pivotArea type="origin" dataOnly="0" labelOnly="1" outline="0" fieldPosition="0"/>
    </format>
    <format dxfId="681">
      <pivotArea type="topRight" dataOnly="0" labelOnly="1" outline="0" fieldPosition="0"/>
    </format>
    <format dxfId="680">
      <pivotArea field="0" type="button" dataOnly="0" labelOnly="1" outline="0" axis="axisCol" fieldPosition="0"/>
    </format>
    <format dxfId="679">
      <pivotArea dataOnly="0" labelOnly="1" fieldPosition="0">
        <references count="1">
          <reference field="0" count="0"/>
        </references>
      </pivotArea>
    </format>
    <format dxfId="678">
      <pivotArea dataOnly="0" labelOnly="1" grandRow="1" outline="0" fieldPosition="0"/>
    </format>
    <format dxfId="677">
      <pivotArea dataOnly="0" labelOnly="1" grandCol="1" outline="0" fieldPosition="0"/>
    </format>
    <format dxfId="676">
      <pivotArea dataOnly="0" grandRow="1" fieldPosition="0"/>
    </format>
    <format dxfId="675">
      <pivotArea dataOnly="0" labelOnly="1" grandRow="1" outline="0" fieldPosition="0"/>
    </format>
    <format dxfId="674">
      <pivotArea type="all" dataOnly="0" outline="0" fieldPosition="0"/>
    </format>
    <format dxfId="673">
      <pivotArea outline="0" collapsedLevelsAreSubtotals="1" fieldPosition="0"/>
    </format>
    <format dxfId="672">
      <pivotArea type="origin" dataOnly="0" labelOnly="1" outline="0" fieldPosition="0"/>
    </format>
    <format dxfId="671">
      <pivotArea field="0" type="button" dataOnly="0" labelOnly="1" outline="0" axis="axisCol" fieldPosition="0"/>
    </format>
    <format dxfId="670">
      <pivotArea type="topRight" dataOnly="0" labelOnly="1" outline="0" fieldPosition="0"/>
    </format>
    <format dxfId="669">
      <pivotArea field="1" type="button" dataOnly="0" labelOnly="1" outline="0" axis="axisRow" fieldPosition="0"/>
    </format>
    <format dxfId="668">
      <pivotArea dataOnly="0" labelOnly="1" fieldPosition="0">
        <references count="1">
          <reference field="1" count="0"/>
        </references>
      </pivotArea>
    </format>
    <format dxfId="667">
      <pivotArea dataOnly="0" labelOnly="1" grandRow="1" outline="0" fieldPosition="0"/>
    </format>
    <format dxfId="666">
      <pivotArea dataOnly="0" labelOnly="1" fieldPosition="0">
        <references count="1">
          <reference field="0" count="0"/>
        </references>
      </pivotArea>
    </format>
    <format dxfId="665">
      <pivotArea outline="0" fieldPosition="0">
        <references count="1">
          <reference field="4294967294" count="1">
            <x v="0"/>
          </reference>
        </references>
      </pivotArea>
    </format>
    <format dxfId="664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663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662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661">
      <pivotArea dataOnly="0" outline="0" fieldPosition="0">
        <references count="1">
          <reference field="2" count="1">
            <x v="0"/>
          </reference>
        </references>
      </pivotArea>
    </format>
    <format dxfId="660">
      <pivotArea field="0" type="button" dataOnly="0" labelOnly="1" outline="0" axis="axisCol" fieldPosition="0"/>
    </format>
    <format dxfId="659">
      <pivotArea grandRow="1" outline="0" collapsedLevelsAreSubtotals="1" fieldPosition="0"/>
    </format>
    <format dxfId="658">
      <pivotArea dataOnly="0" labelOnly="1" grandRow="1" outline="0" fieldPosition="0"/>
    </format>
    <format dxfId="657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656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655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654">
      <pivotArea dataOnly="0" labelOnly="1" fieldPosition="0">
        <references count="1">
          <reference field="0" count="2">
            <x v="0"/>
            <x v="1"/>
          </reference>
        </references>
      </pivotArea>
    </format>
    <format dxfId="653">
      <pivotArea dataOnly="0" labelOnly="1" fieldPosition="0">
        <references count="1">
          <reference field="0" count="1">
            <x v="2"/>
          </reference>
        </references>
      </pivotArea>
    </format>
    <format dxfId="652">
      <pivotArea field="0" type="button" dataOnly="0" labelOnly="1" outline="0" axis="axisCol" fieldPosition="0"/>
    </format>
    <format dxfId="651">
      <pivotArea field="1" type="button" dataOnly="0" labelOnly="1" outline="0" axis="axisRow" fieldPosition="0"/>
    </format>
    <format dxfId="650">
      <pivotArea dataOnly="0" labelOnly="1" fieldPosition="0">
        <references count="1">
          <reference field="0" count="1">
            <x v="3"/>
          </reference>
        </references>
      </pivotArea>
    </format>
    <format dxfId="649">
      <pivotArea dataOnly="0" labelOnly="1" fieldPosition="0">
        <references count="1">
          <reference field="0" count="1">
            <x v="4"/>
          </reference>
        </references>
      </pivotArea>
    </format>
    <format dxfId="648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647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646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645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644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A5F1FA-8C48-482B-B9E1-D24E699EF4D5}" name="PivotTable1" cacheId="75" applyNumberFormats="0" applyBorderFormats="0" applyFontFormats="0" applyPatternFormats="0" applyAlignmentFormats="0" applyWidthHeightFormats="1" dataCaption=" " grandTotalCaption="Total" updatedVersion="8" minRefreshableVersion="3" useAutoFormatting="1" colGrandTotals="0" itemPrintTitles="1" createdVersion="6" indent="0" compact="0" compactData="0" multipleFieldFilters="0" chartFormat="4" rowHeaderCaption="MONTH" colHeaderCaption="YEAR" fieldListSortAscending="1">
  <location ref="A3:K18" firstHeaderRow="1" firstDataRow="3" firstDataCol="1"/>
  <pivotFields count="4">
    <pivotField name="  " axis="axisCol" compact="0" outline="0" showAll="0" sortType="ascending">
      <items count="6">
        <item x="0"/>
        <item x="2"/>
        <item x="1"/>
        <item x="3"/>
        <item x="4"/>
        <item t="default"/>
      </items>
    </pivotField>
    <pivotField name="Month" axis="axisRow" compact="0" outline="0" showAll="0">
      <items count="13">
        <item x="0"/>
        <item x="6"/>
        <item x="5"/>
        <item x="9"/>
        <item x="7"/>
        <item x="8"/>
        <item x="3"/>
        <item x="2"/>
        <item x="1"/>
        <item x="10"/>
        <item x="11"/>
        <item x="4"/>
        <item t="default"/>
      </items>
    </pivotField>
    <pivotField dataField="1" compact="0" outline="0" showAll="0"/>
    <pivotField dataField="1" compact="0" outline="0"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0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</colItems>
  <dataFields count="2">
    <dataField name="Killed " fld="2" baseField="1" baseItem="0" numFmtId="3"/>
    <dataField name="Injured " fld="3" baseField="1" baseItem="0" numFmtId="3"/>
  </dataFields>
  <formats count="25">
    <format dxfId="643">
      <pivotArea type="all" dataOnly="0" outline="0" fieldPosition="0"/>
    </format>
    <format dxfId="642">
      <pivotArea outline="0" collapsedLevelsAreSubtotals="1" fieldPosition="0"/>
    </format>
    <format dxfId="641">
      <pivotArea type="origin" dataOnly="0" labelOnly="1" outline="0" fieldPosition="0"/>
    </format>
    <format dxfId="640">
      <pivotArea type="topRight" dataOnly="0" labelOnly="1" outline="0" fieldPosition="0"/>
    </format>
    <format dxfId="639">
      <pivotArea dataOnly="0" labelOnly="1" grandRow="1" outline="0" fieldPosition="0"/>
    </format>
    <format dxfId="638">
      <pivotArea type="all" dataOnly="0" outline="0" fieldPosition="0"/>
    </format>
    <format dxfId="637">
      <pivotArea outline="0" collapsedLevelsAreSubtotals="1" fieldPosition="0"/>
    </format>
    <format dxfId="636">
      <pivotArea type="origin" dataOnly="0" labelOnly="1" outline="0" fieldPosition="0"/>
    </format>
    <format dxfId="635">
      <pivotArea type="topRight" dataOnly="0" labelOnly="1" outline="0" fieldPosition="0"/>
    </format>
    <format dxfId="634">
      <pivotArea dataOnly="0" labelOnly="1" grandRow="1" outline="0" fieldPosition="0"/>
    </format>
    <format dxfId="633">
      <pivotArea field="1" type="button" dataOnly="0" labelOnly="1" outline="0" axis="axisRow" fieldPosition="0"/>
    </format>
    <format dxfId="632">
      <pivotArea field="0" type="button" dataOnly="0" labelOnly="1" outline="0" axis="axisCol" fieldPosition="0"/>
    </format>
    <format dxfId="631">
      <pivotArea outline="0" fieldPosition="0">
        <references count="1">
          <reference field="4294967294" count="1">
            <x v="1"/>
          </reference>
        </references>
      </pivotArea>
    </format>
    <format dxfId="630">
      <pivotArea outline="0" fieldPosition="0">
        <references count="1">
          <reference field="4294967294" count="1">
            <x v="0"/>
          </reference>
        </references>
      </pivotArea>
    </format>
    <format dxfId="629">
      <pivotArea outline="0" collapsedLevelsAreSubtotals="1" fieldPosition="0"/>
    </format>
    <format dxfId="628">
      <pivotArea dataOnly="0" labelOnly="1" outline="0" fieldPosition="0">
        <references count="1">
          <reference field="0" count="0"/>
        </references>
      </pivotArea>
    </format>
    <format dxfId="627">
      <pivotArea field="0" type="button" dataOnly="0" labelOnly="1" outline="0" axis="axisCol" fieldPosition="0"/>
    </format>
    <format dxfId="626">
      <pivotArea grandRow="1" outline="0" collapsedLevelsAreSubtotals="1" fieldPosition="0"/>
    </format>
    <format dxfId="625">
      <pivotArea dataOnly="0" labelOnly="1" grandRow="1" outline="0" fieldPosition="0"/>
    </format>
    <format dxfId="624">
      <pivotArea dataOnly="0" labelOnly="1" outline="0" fieldPosition="0">
        <references count="1">
          <reference field="0" count="0"/>
        </references>
      </pivotArea>
    </format>
    <format dxfId="623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0"/>
          </reference>
        </references>
      </pivotArea>
    </format>
    <format dxfId="622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1"/>
          </reference>
        </references>
      </pivotArea>
    </format>
    <format dxfId="621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2"/>
          </reference>
        </references>
      </pivotArea>
    </format>
    <format dxfId="620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3"/>
          </reference>
        </references>
      </pivotArea>
    </format>
    <format dxfId="619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4"/>
          </reference>
        </references>
      </pivotArea>
    </format>
  </formats>
  <pivotTableStyleInfo name="ADA 2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6F389D-ABA1-4FDC-B0FA-0245A0E355B7}" name="PivotTable1" cacheId="76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colGrandTotals="0" itemPrintTitles="1" createdVersion="6" indent="0" outline="1" outlineData="1" multipleFieldFilters="0" rowHeaderCaption="County" colHeaderCaption=" " fieldListSortAscending="1">
  <location ref="A3:K64" firstHeaderRow="1" firstDataRow="3" firstDataCol="1"/>
  <pivotFields count="4">
    <pivotField axis="axisCol" showAll="0" sortType="ascending" defaultSubtotal="0">
      <items count="5">
        <item x="0"/>
        <item x="1"/>
        <item x="2"/>
        <item x="3"/>
        <item x="4"/>
      </items>
    </pivotField>
    <pivotField axis="axisCol" subtotalTop="0" showAll="0" defaultSubtotal="0">
      <items count="2">
        <item x="0"/>
        <item x="1"/>
      </items>
    </pivotField>
    <pivotField axis="axisRow" subtotalTop="0" showAll="0" sortType="ascending" defaultSubtotal="0">
      <items count="58">
        <item x="35"/>
        <item x="36"/>
        <item x="0"/>
        <item x="25"/>
        <item x="3"/>
        <item x="30"/>
        <item x="46"/>
        <item x="4"/>
        <item x="5"/>
        <item x="15"/>
        <item x="31"/>
        <item x="42"/>
        <item x="37"/>
        <item x="54"/>
        <item x="9"/>
        <item x="6"/>
        <item x="51"/>
        <item x="7"/>
        <item x="34"/>
        <item x="55"/>
        <item x="16"/>
        <item x="47"/>
        <item x="26"/>
        <item x="10"/>
        <item x="57"/>
        <item x="32"/>
        <item x="27"/>
        <item x="11"/>
        <item x="38"/>
        <item x="28"/>
        <item x="20"/>
        <item x="48"/>
        <item x="12"/>
        <item x="1"/>
        <item x="52"/>
        <item x="43"/>
        <item x="21"/>
        <item x="39"/>
        <item x="41"/>
        <item x="17"/>
        <item x="2"/>
        <item x="22"/>
        <item x="49"/>
        <item x="29"/>
        <item x="33"/>
        <item x="40"/>
        <item x="14"/>
        <item x="8"/>
        <item x="44"/>
        <item x="45"/>
        <item x="13"/>
        <item x="18"/>
        <item x="53"/>
        <item x="56"/>
        <item x="50"/>
        <item x="23"/>
        <item x="24"/>
        <item x="19"/>
      </items>
    </pivotField>
    <pivotField dataField="1" showAll="0" defaultSubtotal="0"/>
  </pivotFields>
  <rowFields count="1">
    <field x="2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2">
    <field x="0"/>
    <field x="1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 " fld="3" baseField="3" baseItem="1" numFmtId="3"/>
  </dataFields>
  <formats count="43">
    <format dxfId="618">
      <pivotArea type="all" dataOnly="0" outline="0" fieldPosition="0"/>
    </format>
    <format dxfId="617">
      <pivotArea outline="0" collapsedLevelsAreSubtotals="1" fieldPosition="0"/>
    </format>
    <format dxfId="616">
      <pivotArea type="origin" dataOnly="0" labelOnly="1" outline="0" fieldPosition="0"/>
    </format>
    <format dxfId="615">
      <pivotArea type="topRight" dataOnly="0" labelOnly="1" outline="0" fieldPosition="0"/>
    </format>
    <format dxfId="614">
      <pivotArea field="0" type="button" dataOnly="0" labelOnly="1" outline="0" axis="axisCol" fieldPosition="0"/>
    </format>
    <format dxfId="613">
      <pivotArea dataOnly="0" labelOnly="1" fieldPosition="0">
        <references count="1">
          <reference field="0" count="0"/>
        </references>
      </pivotArea>
    </format>
    <format dxfId="612">
      <pivotArea dataOnly="0" labelOnly="1" grandRow="1" outline="0" fieldPosition="0"/>
    </format>
    <format dxfId="611">
      <pivotArea dataOnly="0" labelOnly="1" grandCol="1" outline="0" fieldPosition="0"/>
    </format>
    <format dxfId="610">
      <pivotArea type="all" dataOnly="0" outline="0" fieldPosition="0"/>
    </format>
    <format dxfId="609">
      <pivotArea outline="0" collapsedLevelsAreSubtotals="1" fieldPosition="0"/>
    </format>
    <format dxfId="608">
      <pivotArea type="origin" dataOnly="0" labelOnly="1" outline="0" fieldPosition="0"/>
    </format>
    <format dxfId="607">
      <pivotArea type="topRight" dataOnly="0" labelOnly="1" outline="0" fieldPosition="0"/>
    </format>
    <format dxfId="606">
      <pivotArea field="0" type="button" dataOnly="0" labelOnly="1" outline="0" axis="axisCol" fieldPosition="0"/>
    </format>
    <format dxfId="605">
      <pivotArea dataOnly="0" labelOnly="1" fieldPosition="0">
        <references count="1">
          <reference field="0" count="0"/>
        </references>
      </pivotArea>
    </format>
    <format dxfId="604">
      <pivotArea dataOnly="0" labelOnly="1" grandRow="1" outline="0" fieldPosition="0"/>
    </format>
    <format dxfId="603">
      <pivotArea dataOnly="0" labelOnly="1" grandCol="1" outline="0" fieldPosition="0"/>
    </format>
    <format dxfId="602">
      <pivotArea outline="0" fieldPosition="0">
        <references count="1">
          <reference field="4294967294" count="1">
            <x v="0"/>
          </reference>
        </references>
      </pivotArea>
    </format>
    <format dxfId="601">
      <pivotArea type="all" dataOnly="0" outline="0" fieldPosition="0"/>
    </format>
    <format dxfId="600">
      <pivotArea outline="0" collapsedLevelsAreSubtotals="1" fieldPosition="0"/>
    </format>
    <format dxfId="599">
      <pivotArea type="origin" dataOnly="0" labelOnly="1" outline="0" fieldPosition="0"/>
    </format>
    <format dxfId="598">
      <pivotArea field="0" type="button" dataOnly="0" labelOnly="1" outline="0" axis="axisCol" fieldPosition="0"/>
    </format>
    <format dxfId="597">
      <pivotArea field="1" type="button" dataOnly="0" labelOnly="1" outline="0" axis="axisCol" fieldPosition="1"/>
    </format>
    <format dxfId="596">
      <pivotArea type="topRight" dataOnly="0" labelOnly="1" outline="0" fieldPosition="0"/>
    </format>
    <format dxfId="595">
      <pivotArea field="2" type="button" dataOnly="0" labelOnly="1" outline="0" axis="axisRow" fieldPosition="0"/>
    </format>
    <format dxfId="594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93">
      <pivotArea dataOnly="0" labelOnly="1" fieldPosition="0">
        <references count="1">
          <reference field="2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592">
      <pivotArea dataOnly="0" labelOnly="1" grandRow="1" outline="0" fieldPosition="0"/>
    </format>
    <format dxfId="591">
      <pivotArea dataOnly="0" labelOnly="1" fieldPosition="0">
        <references count="1">
          <reference field="0" count="0"/>
        </references>
      </pivotArea>
    </format>
    <format dxfId="590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589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588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587">
      <pivotArea outline="0" collapsedLevelsAreSubtotals="1" fieldPosition="0"/>
    </format>
    <format dxfId="586">
      <pivotArea dataOnly="0" labelOnly="1" fieldPosition="0">
        <references count="1">
          <reference field="0" count="0"/>
        </references>
      </pivotArea>
    </format>
    <format dxfId="585">
      <pivotArea field="0" type="button" dataOnly="0" labelOnly="1" outline="0" axis="axisCol" fieldPosition="0"/>
    </format>
    <format dxfId="584">
      <pivotArea dataOnly="0" labelOnly="1" grandRow="1" outline="0" fieldPosition="0"/>
    </format>
    <format dxfId="583">
      <pivotArea field="2" type="button" dataOnly="0" labelOnly="1" outline="0" axis="axisRow" fieldPosition="0"/>
    </format>
    <format dxfId="582">
      <pivotArea field="0" type="button" dataOnly="0" labelOnly="1" outline="0" axis="axisCol" fieldPosition="0"/>
    </format>
    <format dxfId="581">
      <pivotArea dataOnly="0" labelOnly="1" fieldPosition="0">
        <references count="1">
          <reference field="0" count="0"/>
        </references>
      </pivotArea>
    </format>
    <format dxfId="580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579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578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577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576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</formats>
  <pivotTableStyleInfo name="ADA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0AE769-C8E7-46AD-A81D-EBBE1A5487C8}" name="PivotTable1" cacheId="77" applyNumberFormats="0" applyBorderFormats="0" applyFontFormats="0" applyPatternFormats="0" applyAlignmentFormats="0" applyWidthHeightFormats="1" dataCaption=" " grandTotalCaption="Total" updatedVersion="8" minRefreshableVersion="3" useAutoFormatting="1" colGrandTotals="0" itemPrintTitles="1" createdVersion="6" indent="0" compact="0" compactData="0" multipleFieldFilters="0" chartFormat="4" rowHeaderCaption="MONTH" colHeaderCaption="YEAR" fieldListSortAscending="1">
  <location ref="A3:K64" firstHeaderRow="1" firstDataRow="3" firstDataCol="1"/>
  <pivotFields count="4">
    <pivotField name="  " axis="axisCol" compact="0" outline="0" showAll="0" sortType="ascending">
      <items count="6">
        <item x="1"/>
        <item x="3"/>
        <item x="0"/>
        <item x="2"/>
        <item x="4"/>
        <item t="default"/>
      </items>
    </pivotField>
    <pivotField name="County" axis="axisRow" compact="0" outline="0" showAll="0" sortType="ascending">
      <items count="59">
        <item x="20"/>
        <item x="0"/>
        <item x="50"/>
        <item x="43"/>
        <item x="44"/>
        <item x="21"/>
        <item x="51"/>
        <item x="52"/>
        <item x="1"/>
        <item x="2"/>
        <item x="22"/>
        <item x="23"/>
        <item x="53"/>
        <item x="3"/>
        <item x="45"/>
        <item x="24"/>
        <item x="4"/>
        <item x="25"/>
        <item x="54"/>
        <item x="26"/>
        <item x="27"/>
        <item x="46"/>
        <item x="28"/>
        <item x="47"/>
        <item x="5"/>
        <item x="6"/>
        <item x="7"/>
        <item x="29"/>
        <item x="8"/>
        <item x="9"/>
        <item x="30"/>
        <item x="48"/>
        <item x="31"/>
        <item x="10"/>
        <item x="32"/>
        <item x="33"/>
        <item x="34"/>
        <item x="35"/>
        <item x="11"/>
        <item x="55"/>
        <item x="12"/>
        <item x="36"/>
        <item x="13"/>
        <item x="37"/>
        <item x="56"/>
        <item x="49"/>
        <item x="14"/>
        <item x="38"/>
        <item x="15"/>
        <item x="39"/>
        <item x="16"/>
        <item x="57"/>
        <item x="40"/>
        <item x="41"/>
        <item x="42"/>
        <item x="17"/>
        <item x="18"/>
        <item x="19"/>
        <item t="default"/>
      </items>
    </pivotField>
    <pivotField dataField="1" compact="0" outline="0" showAll="0"/>
    <pivotField dataField="1" compact="0" outline="0" showAll="0"/>
  </pivotFields>
  <rowFields count="1">
    <field x="1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2">
    <field x="0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</colItems>
  <dataFields count="2">
    <dataField name="Killed " fld="2" baseField="1" baseItem="0" numFmtId="3"/>
    <dataField name="Injured " fld="3" baseField="1" baseItem="0" numFmtId="3"/>
  </dataFields>
  <formats count="24">
    <format dxfId="575">
      <pivotArea type="all" dataOnly="0" outline="0" fieldPosition="0"/>
    </format>
    <format dxfId="574">
      <pivotArea outline="0" collapsedLevelsAreSubtotals="1" fieldPosition="0"/>
    </format>
    <format dxfId="573">
      <pivotArea type="origin" dataOnly="0" labelOnly="1" outline="0" fieldPosition="0"/>
    </format>
    <format dxfId="572">
      <pivotArea type="topRight" dataOnly="0" labelOnly="1" outline="0" fieldPosition="0"/>
    </format>
    <format dxfId="571">
      <pivotArea dataOnly="0" labelOnly="1" grandRow="1" outline="0" fieldPosition="0"/>
    </format>
    <format dxfId="570">
      <pivotArea type="all" dataOnly="0" outline="0" fieldPosition="0"/>
    </format>
    <format dxfId="569">
      <pivotArea outline="0" collapsedLevelsAreSubtotals="1" fieldPosition="0"/>
    </format>
    <format dxfId="568">
      <pivotArea type="origin" dataOnly="0" labelOnly="1" outline="0" fieldPosition="0"/>
    </format>
    <format dxfId="567">
      <pivotArea type="topRight" dataOnly="0" labelOnly="1" outline="0" fieldPosition="0"/>
    </format>
    <format dxfId="566">
      <pivotArea dataOnly="0" labelOnly="1" grandRow="1" outline="0" fieldPosition="0"/>
    </format>
    <format dxfId="565">
      <pivotArea field="0" type="button" dataOnly="0" labelOnly="1" outline="0" axis="axisCol" fieldPosition="0"/>
    </format>
    <format dxfId="564">
      <pivotArea outline="0" fieldPosition="0">
        <references count="1">
          <reference field="4294967294" count="1">
            <x v="1"/>
          </reference>
        </references>
      </pivotArea>
    </format>
    <format dxfId="563">
      <pivotArea outline="0" fieldPosition="0">
        <references count="1">
          <reference field="4294967294" count="1">
            <x v="0"/>
          </reference>
        </references>
      </pivotArea>
    </format>
    <format dxfId="562">
      <pivotArea outline="0" collapsedLevelsAreSubtotals="1" fieldPosition="0"/>
    </format>
    <format dxfId="561">
      <pivotArea dataOnly="0" labelOnly="1" outline="0" fieldPosition="0">
        <references count="1">
          <reference field="0" count="0"/>
        </references>
      </pivotArea>
    </format>
    <format dxfId="560">
      <pivotArea field="0" type="button" dataOnly="0" labelOnly="1" outline="0" axis="axisCol" fieldPosition="0"/>
    </format>
    <format dxfId="559">
      <pivotArea dataOnly="0" labelOnly="1" grandRow="1" outline="0" fieldPosition="0"/>
    </format>
    <format dxfId="558">
      <pivotArea field="1" type="button" dataOnly="0" labelOnly="1" outline="0" axis="axisRow" fieldPosition="0"/>
    </format>
    <format dxfId="557">
      <pivotArea dataOnly="0" labelOnly="1" outline="0" fieldPosition="0">
        <references count="1">
          <reference field="0" count="0"/>
        </references>
      </pivotArea>
    </format>
    <format dxfId="556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0"/>
          </reference>
        </references>
      </pivotArea>
    </format>
    <format dxfId="555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1"/>
          </reference>
        </references>
      </pivotArea>
    </format>
    <format dxfId="554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2"/>
          </reference>
        </references>
      </pivotArea>
    </format>
    <format dxfId="553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3"/>
          </reference>
        </references>
      </pivotArea>
    </format>
    <format dxfId="552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4"/>
          </reference>
        </references>
      </pivotArea>
    </format>
  </formats>
  <pivotTableStyleInfo name="4A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5905FB-6770-475E-B47B-22088BE7F8BD}" name="PivotTable1" cacheId="79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colGrandTotals="0" itemPrintTitles="1" createdVersion="6" indent="0" outline="1" outlineData="1" multipleFieldFilters="0" rowHeaderCaption=" " colHeaderCaption=" " fieldListSortAscending="1">
  <location ref="A3:K15" firstHeaderRow="1" firstDataRow="3" firstDataCol="1"/>
  <pivotFields count="4">
    <pivotField axis="axisCol" showAll="0" sortType="ascending" defaultSubtotal="0">
      <items count="5">
        <item x="0"/>
        <item x="3"/>
        <item x="1"/>
        <item x="4"/>
        <item x="2"/>
      </items>
    </pivotField>
    <pivotField axis="axisRow" showAll="0" defaultSubtotal="0">
      <items count="9">
        <item n="HBD* Driver" x="0"/>
        <item x="5"/>
        <item x="2"/>
        <item x="1"/>
        <item n="HNBD* Driver" x="6"/>
        <item x="7"/>
        <item x="3"/>
        <item x="4"/>
        <item x="8"/>
      </items>
    </pivotField>
    <pivotField axis="axisCol" subtotalTop="0" showAll="0" defaultSubtotal="0">
      <items count="2">
        <item x="0"/>
        <item x="1"/>
      </items>
    </pivotField>
    <pivotField dataField="1" showAll="0" defaultSubtota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2">
    <field x="0"/>
    <field x="2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" fld="3" baseField="1" baseItem="0" numFmtId="3"/>
  </dataFields>
  <formats count="53">
    <format dxfId="551">
      <pivotArea type="all" dataOnly="0" outline="0" fieldPosition="0"/>
    </format>
    <format dxfId="550">
      <pivotArea outline="0" collapsedLevelsAreSubtotals="1" fieldPosition="0"/>
    </format>
    <format dxfId="549">
      <pivotArea type="origin" dataOnly="0" labelOnly="1" outline="0" fieldPosition="0"/>
    </format>
    <format dxfId="548">
      <pivotArea field="0" type="button" dataOnly="0" labelOnly="1" outline="0" axis="axisCol" fieldPosition="0"/>
    </format>
    <format dxfId="547">
      <pivotArea type="topRight" dataOnly="0" labelOnly="1" outline="0" fieldPosition="0"/>
    </format>
    <format dxfId="546">
      <pivotArea field="1" type="button" dataOnly="0" labelOnly="1" outline="0" axis="axisRow" fieldPosition="0"/>
    </format>
    <format dxfId="545">
      <pivotArea dataOnly="0" labelOnly="1" fieldPosition="0">
        <references count="1">
          <reference field="1" count="0"/>
        </references>
      </pivotArea>
    </format>
    <format dxfId="544">
      <pivotArea dataOnly="0" labelOnly="1" grandRow="1" outline="0" fieldPosition="0"/>
    </format>
    <format dxfId="543">
      <pivotArea dataOnly="0" labelOnly="1" fieldPosition="0">
        <references count="1">
          <reference field="0" count="0"/>
        </references>
      </pivotArea>
    </format>
    <format dxfId="542">
      <pivotArea type="all" dataOnly="0" outline="0" fieldPosition="0"/>
    </format>
    <format dxfId="541">
      <pivotArea outline="0" collapsedLevelsAreSubtotals="1" fieldPosition="0"/>
    </format>
    <format dxfId="540">
      <pivotArea type="origin" dataOnly="0" labelOnly="1" outline="0" fieldPosition="0"/>
    </format>
    <format dxfId="539">
      <pivotArea field="0" type="button" dataOnly="0" labelOnly="1" outline="0" axis="axisCol" fieldPosition="0"/>
    </format>
    <format dxfId="538">
      <pivotArea type="topRight" dataOnly="0" labelOnly="1" outline="0" fieldPosition="0"/>
    </format>
    <format dxfId="537">
      <pivotArea field="1" type="button" dataOnly="0" labelOnly="1" outline="0" axis="axisRow" fieldPosition="0"/>
    </format>
    <format dxfId="536">
      <pivotArea dataOnly="0" labelOnly="1" fieldPosition="0">
        <references count="1">
          <reference field="1" count="0"/>
        </references>
      </pivotArea>
    </format>
    <format dxfId="535">
      <pivotArea dataOnly="0" labelOnly="1" fieldPosition="0">
        <references count="1">
          <reference field="0" count="0"/>
        </references>
      </pivotArea>
    </format>
    <format dxfId="534">
      <pivotArea type="all" dataOnly="0" outline="0" fieldPosition="0"/>
    </format>
    <format dxfId="533">
      <pivotArea dataOnly="0" labelOnly="1" grandRow="1" outline="0" fieldPosition="0"/>
    </format>
    <format dxfId="532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531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530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529">
      <pivotArea type="all" dataOnly="0" outline="0" fieldPosition="0"/>
    </format>
    <format dxfId="528">
      <pivotArea outline="0" collapsedLevelsAreSubtotals="1" fieldPosition="0"/>
    </format>
    <format dxfId="527">
      <pivotArea type="origin" dataOnly="0" labelOnly="1" outline="0" fieldPosition="0"/>
    </format>
    <format dxfId="526">
      <pivotArea field="0" type="button" dataOnly="0" labelOnly="1" outline="0" axis="axisCol" fieldPosition="0"/>
    </format>
    <format dxfId="525">
      <pivotArea field="2" type="button" dataOnly="0" labelOnly="1" outline="0" axis="axisCol" fieldPosition="1"/>
    </format>
    <format dxfId="524">
      <pivotArea type="topRight" dataOnly="0" labelOnly="1" outline="0" fieldPosition="0"/>
    </format>
    <format dxfId="523">
      <pivotArea field="1" type="button" dataOnly="0" labelOnly="1" outline="0" axis="axisRow" fieldPosition="0"/>
    </format>
    <format dxfId="522">
      <pivotArea dataOnly="0" labelOnly="1" fieldPosition="0">
        <references count="1">
          <reference field="1" count="0"/>
        </references>
      </pivotArea>
    </format>
    <format dxfId="521">
      <pivotArea dataOnly="0" labelOnly="1" grandRow="1" outline="0" fieldPosition="0"/>
    </format>
    <format dxfId="520">
      <pivotArea dataOnly="0" labelOnly="1" fieldPosition="0">
        <references count="1">
          <reference field="0" count="0"/>
        </references>
      </pivotArea>
    </format>
    <format dxfId="519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518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517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516">
      <pivotArea grandRow="1" outline="0" collapsedLevelsAreSubtotals="1" fieldPosition="0"/>
    </format>
    <format dxfId="515">
      <pivotArea outline="0" collapsedLevelsAreSubtotals="1" fieldPosition="0"/>
    </format>
    <format dxfId="514">
      <pivotArea dataOnly="0" labelOnly="1" fieldPosition="0">
        <references count="1">
          <reference field="0" count="0"/>
        </references>
      </pivotArea>
    </format>
    <format dxfId="513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512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511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510">
      <pivotArea field="0" type="button" dataOnly="0" labelOnly="1" outline="0" axis="axisCol" fieldPosition="0"/>
    </format>
    <format dxfId="509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508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507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506">
      <pivotArea field="0" type="button" dataOnly="0" labelOnly="1" outline="0" axis="axisCol" fieldPosition="0"/>
    </format>
    <format dxfId="505">
      <pivotArea dataOnly="0" labelOnly="1" fieldPosition="0">
        <references count="1">
          <reference field="0" count="0"/>
        </references>
      </pivotArea>
    </format>
    <format dxfId="504">
      <pivotArea dataOnly="0" labelOnly="1" grandRow="1" outline="0" fieldPosition="0"/>
    </format>
    <format dxfId="503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502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501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500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499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</formats>
  <pivotTableStyleInfo name="ADA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A0A22E-0C72-474B-AAC5-1D55937BEC38}" name="PivotTable1" cacheId="72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rowHeaderCaption="Movement Preceding Crash" colHeaderCaption=" " fieldListSortAscending="1">
  <location ref="A4:J26" firstHeaderRow="1" firstDataRow="2" firstDataCol="1"/>
  <pivotFields count="3">
    <pivotField axis="axisRow" showAll="0">
      <items count="21">
        <item x="15"/>
        <item x="19"/>
        <item x="10"/>
        <item x="16"/>
        <item x="8"/>
        <item x="1"/>
        <item x="6"/>
        <item x="3"/>
        <item x="2"/>
        <item x="0"/>
        <item x="14"/>
        <item x="4"/>
        <item x="13"/>
        <item x="7"/>
        <item x="17"/>
        <item x="12"/>
        <item x="5"/>
        <item x="9"/>
        <item x="18"/>
        <item x="11"/>
        <item t="default"/>
      </items>
    </pivotField>
    <pivotField axis="axisCol" showAll="0">
      <items count="9">
        <item x="1"/>
        <item x="5"/>
        <item x="4"/>
        <item x="0"/>
        <item x="7"/>
        <item x="3"/>
        <item x="6"/>
        <item x="2"/>
        <item t="default"/>
      </items>
    </pivotField>
    <pivotField dataField="1" showAll="0"/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1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 " fld="2" baseField="0" baseItem="2" numFmtId="3"/>
  </dataFields>
  <formats count="42">
    <format dxfId="498">
      <pivotArea type="all" dataOnly="0" outline="0" fieldPosition="0"/>
    </format>
    <format dxfId="497">
      <pivotArea outline="0" collapsedLevelsAreSubtotals="1" fieldPosition="0"/>
    </format>
    <format dxfId="496">
      <pivotArea type="origin" dataOnly="0" labelOnly="1" outline="0" fieldPosition="0"/>
    </format>
    <format dxfId="495">
      <pivotArea field="1" type="button" dataOnly="0" labelOnly="1" outline="0" axis="axisCol" fieldPosition="0"/>
    </format>
    <format dxfId="494">
      <pivotArea type="topRight" dataOnly="0" labelOnly="1" outline="0" fieldPosition="0"/>
    </format>
    <format dxfId="493">
      <pivotArea field="0" type="button" dataOnly="0" labelOnly="1" outline="0" axis="axisRow" fieldPosition="0"/>
    </format>
    <format dxfId="492">
      <pivotArea dataOnly="0" labelOnly="1" fieldPosition="0">
        <references count="1">
          <reference field="0" count="0"/>
        </references>
      </pivotArea>
    </format>
    <format dxfId="491">
      <pivotArea dataOnly="0" labelOnly="1" grandRow="1" outline="0" fieldPosition="0"/>
    </format>
    <format dxfId="490">
      <pivotArea dataOnly="0" labelOnly="1" fieldPosition="0">
        <references count="1">
          <reference field="1" count="0"/>
        </references>
      </pivotArea>
    </format>
    <format dxfId="489">
      <pivotArea dataOnly="0" labelOnly="1" grandCol="1" outline="0" fieldPosition="0"/>
    </format>
    <format dxfId="488">
      <pivotArea type="all" dataOnly="0" outline="0" fieldPosition="0"/>
    </format>
    <format dxfId="487">
      <pivotArea outline="0" collapsedLevelsAreSubtotals="1" fieldPosition="0"/>
    </format>
    <format dxfId="486">
      <pivotArea type="origin" dataOnly="0" labelOnly="1" outline="0" fieldPosition="0"/>
    </format>
    <format dxfId="485">
      <pivotArea field="1" type="button" dataOnly="0" labelOnly="1" outline="0" axis="axisCol" fieldPosition="0"/>
    </format>
    <format dxfId="484">
      <pivotArea type="topRight" dataOnly="0" labelOnly="1" outline="0" fieldPosition="0"/>
    </format>
    <format dxfId="483">
      <pivotArea field="0" type="button" dataOnly="0" labelOnly="1" outline="0" axis="axisRow" fieldPosition="0"/>
    </format>
    <format dxfId="482">
      <pivotArea dataOnly="0" labelOnly="1" fieldPosition="0">
        <references count="1">
          <reference field="0" count="0"/>
        </references>
      </pivotArea>
    </format>
    <format dxfId="481">
      <pivotArea dataOnly="0" labelOnly="1" grandRow="1" outline="0" fieldPosition="0"/>
    </format>
    <format dxfId="480">
      <pivotArea dataOnly="0" labelOnly="1" fieldPosition="0">
        <references count="1">
          <reference field="1" count="0"/>
        </references>
      </pivotArea>
    </format>
    <format dxfId="479">
      <pivotArea dataOnly="0" labelOnly="1" grandCol="1" outline="0" fieldPosition="0"/>
    </format>
    <format dxfId="478">
      <pivotArea type="all" dataOnly="0" outline="0" fieldPosition="0"/>
    </format>
    <format dxfId="477">
      <pivotArea outline="0" collapsedLevelsAreSubtotals="1" fieldPosition="0"/>
    </format>
    <format dxfId="476">
      <pivotArea type="origin" dataOnly="0" labelOnly="1" outline="0" fieldPosition="0"/>
    </format>
    <format dxfId="475">
      <pivotArea field="1" type="button" dataOnly="0" labelOnly="1" outline="0" axis="axisCol" fieldPosition="0"/>
    </format>
    <format dxfId="474">
      <pivotArea type="topRight" dataOnly="0" labelOnly="1" outline="0" fieldPosition="0"/>
    </format>
    <format dxfId="473">
      <pivotArea field="0" type="button" dataOnly="0" labelOnly="1" outline="0" axis="axisRow" fieldPosition="0"/>
    </format>
    <format dxfId="472">
      <pivotArea dataOnly="0" labelOnly="1" fieldPosition="0">
        <references count="1">
          <reference field="0" count="0"/>
        </references>
      </pivotArea>
    </format>
    <format dxfId="471">
      <pivotArea dataOnly="0" labelOnly="1" grandRow="1" outline="0" fieldPosition="0"/>
    </format>
    <format dxfId="470">
      <pivotArea dataOnly="0" labelOnly="1" fieldPosition="0">
        <references count="1">
          <reference field="1" count="0"/>
        </references>
      </pivotArea>
    </format>
    <format dxfId="469">
      <pivotArea dataOnly="0" labelOnly="1" grandCol="1" outline="0" fieldPosition="0"/>
    </format>
    <format dxfId="468">
      <pivotArea outline="0" fieldPosition="0">
        <references count="1">
          <reference field="4294967294" count="1">
            <x v="0"/>
          </reference>
        </references>
      </pivotArea>
    </format>
    <format dxfId="467">
      <pivotArea dataOnly="0" labelOnly="1" fieldPosition="0">
        <references count="1">
          <reference field="1" count="0"/>
        </references>
      </pivotArea>
    </format>
    <format dxfId="466">
      <pivotArea dataOnly="0" labelOnly="1" grandCol="1" outline="0" fieldPosition="0"/>
    </format>
    <format dxfId="465">
      <pivotArea dataOnly="0" labelOnly="1" fieldPosition="0">
        <references count="1">
          <reference field="1" count="1">
            <x v="6"/>
          </reference>
        </references>
      </pivotArea>
    </format>
    <format dxfId="464">
      <pivotArea field="1" type="button" dataOnly="0" labelOnly="1" outline="0" axis="axisCol" fieldPosition="0"/>
    </format>
    <format dxfId="463">
      <pivotArea grandRow="1" outline="0" collapsedLevelsAreSubtotals="1" fieldPosition="0"/>
    </format>
    <format dxfId="462">
      <pivotArea field="1" type="button" dataOnly="0" labelOnly="1" outline="0" axis="axisCol" fieldPosition="0"/>
    </format>
    <format dxfId="461">
      <pivotArea field="0" type="button" dataOnly="0" labelOnly="1" outline="0" axis="axisRow" fieldPosition="0"/>
    </format>
    <format dxfId="460">
      <pivotArea dataOnly="0" labelOnly="1" grandCol="1" outline="0" fieldPosition="0"/>
    </format>
    <format dxfId="459">
      <pivotArea dataOnly="0" labelOnly="1" grandRow="1" outline="0" fieldPosition="0"/>
    </format>
    <format dxfId="458">
      <pivotArea dataOnly="0" labelOnly="1" fieldPosition="0">
        <references count="1">
          <reference field="1" count="0"/>
        </references>
      </pivotArea>
    </format>
    <format dxfId="457">
      <pivotArea field="1" type="button" dataOnly="0" labelOnly="1" outline="0" axis="axisCol" fieldPosition="0"/>
    </format>
  </formats>
  <pivotTableStyleInfo name="ADA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58E2D9-CB98-4E81-95FD-E26DA4309078}" name="PivotTable1" cacheId="69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rowHeaderCaption="Age" colHeaderCaption="  " fieldListSortAscending="1">
  <location ref="A3:I60" firstHeaderRow="1" firstDataRow="3" firstDataCol="1"/>
  <pivotFields count="4">
    <pivotField axis="axisCol" showAll="0" defaultSubtotal="0">
      <items count="2">
        <item x="0"/>
        <item x="1"/>
      </items>
    </pivotField>
    <pivotField axis="axisCol" showAll="0" defaultSubtotal="0">
      <items count="4">
        <item x="1"/>
        <item x="0"/>
        <item x="3"/>
        <item n="Not stated" x="2"/>
      </items>
    </pivotField>
    <pivotField axis="axisRow" showAll="0" defaultSubtotal="0">
      <items count="54">
        <item x="38"/>
        <item x="28"/>
        <item x="47"/>
        <item x="0"/>
        <item x="41"/>
        <item x="23"/>
        <item x="17"/>
        <item x="14"/>
        <item x="10"/>
        <item x="24"/>
        <item x="5"/>
        <item x="49"/>
        <item x="48"/>
        <item x="34"/>
        <item x="42"/>
        <item x="1"/>
        <item x="43"/>
        <item x="35"/>
        <item x="31"/>
        <item x="50"/>
        <item x="6"/>
        <item x="25"/>
        <item x="11"/>
        <item x="15"/>
        <item x="46"/>
        <item x="18"/>
        <item x="26"/>
        <item x="44"/>
        <item x="2"/>
        <item x="32"/>
        <item x="29"/>
        <item x="7"/>
        <item x="51"/>
        <item x="36"/>
        <item x="3"/>
        <item x="19"/>
        <item x="45"/>
        <item x="27"/>
        <item x="12"/>
        <item x="52"/>
        <item x="8"/>
        <item x="30"/>
        <item x="33"/>
        <item x="16"/>
        <item x="20"/>
        <item x="4"/>
        <item x="21"/>
        <item x="53"/>
        <item x="37"/>
        <item x="22"/>
        <item x="39"/>
        <item x="13"/>
        <item x="40"/>
        <item n="Not stated" x="9"/>
      </items>
    </pivotField>
    <pivotField dataField="1" showAll="0" defaultSubtotal="0"/>
  </pivotFields>
  <rowFields count="1">
    <field x="2"/>
  </rowFields>
  <rowItems count="5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 t="grand">
      <x/>
    </i>
  </rowItems>
  <colFields count="2">
    <field x="0"/>
    <field x="1"/>
  </colFields>
  <colItems count="8">
    <i>
      <x/>
      <x/>
    </i>
    <i r="1">
      <x v="1"/>
    </i>
    <i r="1">
      <x v="3"/>
    </i>
    <i>
      <x v="1"/>
      <x/>
    </i>
    <i r="1">
      <x v="1"/>
    </i>
    <i r="1">
      <x v="2"/>
    </i>
    <i r="1">
      <x v="3"/>
    </i>
    <i t="grand">
      <x/>
    </i>
  </colItems>
  <dataFields count="1">
    <dataField name=" " fld="3" baseField="2" baseItem="39" numFmtId="3"/>
  </dataFields>
  <formats count="57">
    <format dxfId="456">
      <pivotArea type="all" dataOnly="0" outline="0" fieldPosition="0"/>
    </format>
    <format dxfId="455">
      <pivotArea outline="0" collapsedLevelsAreSubtotals="1" fieldPosition="0"/>
    </format>
    <format dxfId="454">
      <pivotArea type="origin" dataOnly="0" labelOnly="1" outline="0" fieldPosition="0"/>
    </format>
    <format dxfId="453">
      <pivotArea field="0" type="button" dataOnly="0" labelOnly="1" outline="0" axis="axisCol" fieldPosition="0"/>
    </format>
    <format dxfId="452">
      <pivotArea field="1" type="button" dataOnly="0" labelOnly="1" outline="0" axis="axisCol" fieldPosition="1"/>
    </format>
    <format dxfId="451">
      <pivotArea type="topRight" dataOnly="0" labelOnly="1" outline="0" fieldPosition="0"/>
    </format>
    <format dxfId="450">
      <pivotArea field="2" type="button" dataOnly="0" labelOnly="1" outline="0" axis="axisRow" fieldPosition="0"/>
    </format>
    <format dxfId="449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48">
      <pivotArea dataOnly="0" labelOnly="1" fieldPosition="0">
        <references count="1">
          <reference field="2" count="4">
            <x v="50"/>
            <x v="51"/>
            <x v="52"/>
            <x v="53"/>
          </reference>
        </references>
      </pivotArea>
    </format>
    <format dxfId="447">
      <pivotArea dataOnly="0" labelOnly="1" grandRow="1" outline="0" fieldPosition="0"/>
    </format>
    <format dxfId="446">
      <pivotArea dataOnly="0" labelOnly="1" fieldPosition="0">
        <references count="1">
          <reference field="0" count="0"/>
        </references>
      </pivotArea>
    </format>
    <format dxfId="445">
      <pivotArea dataOnly="0" labelOnly="1" fieldPosition="0">
        <references count="1">
          <reference field="0" count="0" defaultSubtotal="1"/>
        </references>
      </pivotArea>
    </format>
    <format dxfId="444">
      <pivotArea dataOnly="0" labelOnly="1" grandCol="1" outline="0" fieldPosition="0"/>
    </format>
    <format dxfId="443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442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441">
      <pivotArea type="all" dataOnly="0" outline="0" fieldPosition="0"/>
    </format>
    <format dxfId="440">
      <pivotArea outline="0" collapsedLevelsAreSubtotals="1" fieldPosition="0"/>
    </format>
    <format dxfId="439">
      <pivotArea type="origin" dataOnly="0" labelOnly="1" outline="0" fieldPosition="0"/>
    </format>
    <format dxfId="438">
      <pivotArea field="0" type="button" dataOnly="0" labelOnly="1" outline="0" axis="axisCol" fieldPosition="0"/>
    </format>
    <format dxfId="437">
      <pivotArea field="1" type="button" dataOnly="0" labelOnly="1" outline="0" axis="axisCol" fieldPosition="1"/>
    </format>
    <format dxfId="436">
      <pivotArea type="topRight" dataOnly="0" labelOnly="1" outline="0" fieldPosition="0"/>
    </format>
    <format dxfId="435">
      <pivotArea field="2" type="button" dataOnly="0" labelOnly="1" outline="0" axis="axisRow" fieldPosition="0"/>
    </format>
    <format dxfId="434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33">
      <pivotArea dataOnly="0" labelOnly="1" fieldPosition="0">
        <references count="1">
          <reference field="2" count="4">
            <x v="50"/>
            <x v="51"/>
            <x v="52"/>
            <x v="53"/>
          </reference>
        </references>
      </pivotArea>
    </format>
    <format dxfId="432">
      <pivotArea dataOnly="0" labelOnly="1" grandRow="1" outline="0" fieldPosition="0"/>
    </format>
    <format dxfId="431">
      <pivotArea dataOnly="0" labelOnly="1" fieldPosition="0">
        <references count="1">
          <reference field="0" count="0"/>
        </references>
      </pivotArea>
    </format>
    <format dxfId="430">
      <pivotArea dataOnly="0" labelOnly="1" fieldPosition="0">
        <references count="1">
          <reference field="0" count="0" defaultSubtotal="1"/>
        </references>
      </pivotArea>
    </format>
    <format dxfId="429">
      <pivotArea dataOnly="0" labelOnly="1" grandCol="1" outline="0" fieldPosition="0"/>
    </format>
    <format dxfId="428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427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426">
      <pivotArea type="all" dataOnly="0" outline="0" fieldPosition="0"/>
    </format>
    <format dxfId="425">
      <pivotArea outline="0" collapsedLevelsAreSubtotals="1" fieldPosition="0"/>
    </format>
    <format dxfId="424">
      <pivotArea type="origin" dataOnly="0" labelOnly="1" outline="0" fieldPosition="0"/>
    </format>
    <format dxfId="423">
      <pivotArea field="0" type="button" dataOnly="0" labelOnly="1" outline="0" axis="axisCol" fieldPosition="0"/>
    </format>
    <format dxfId="422">
      <pivotArea field="1" type="button" dataOnly="0" labelOnly="1" outline="0" axis="axisCol" fieldPosition="1"/>
    </format>
    <format dxfId="421">
      <pivotArea type="topRight" dataOnly="0" labelOnly="1" outline="0" fieldPosition="0"/>
    </format>
    <format dxfId="420">
      <pivotArea field="2" type="button" dataOnly="0" labelOnly="1" outline="0" axis="axisRow" fieldPosition="0"/>
    </format>
    <format dxfId="419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18">
      <pivotArea dataOnly="0" labelOnly="1" fieldPosition="0">
        <references count="1">
          <reference field="2" count="4">
            <x v="50"/>
            <x v="51"/>
            <x v="52"/>
            <x v="53"/>
          </reference>
        </references>
      </pivotArea>
    </format>
    <format dxfId="417">
      <pivotArea dataOnly="0" labelOnly="1" grandRow="1" outline="0" fieldPosition="0"/>
    </format>
    <format dxfId="416">
      <pivotArea dataOnly="0" labelOnly="1" fieldPosition="0">
        <references count="1">
          <reference field="0" count="0"/>
        </references>
      </pivotArea>
    </format>
    <format dxfId="415">
      <pivotArea dataOnly="0" labelOnly="1" fieldPosition="0">
        <references count="1">
          <reference field="0" count="0" defaultSubtotal="1"/>
        </references>
      </pivotArea>
    </format>
    <format dxfId="414">
      <pivotArea dataOnly="0" labelOnly="1" grandCol="1" outline="0" fieldPosition="0"/>
    </format>
    <format dxfId="413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412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411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410">
      <pivotArea outline="0" fieldPosition="0">
        <references count="1">
          <reference field="4294967294" count="1">
            <x v="0"/>
          </reference>
        </references>
      </pivotArea>
    </format>
    <format dxfId="409">
      <pivotArea outline="0" collapsedLevelsAreSubtotals="1" fieldPosition="0"/>
    </format>
    <format dxfId="408">
      <pivotArea dataOnly="0" labelOnly="1" fieldPosition="0">
        <references count="1">
          <reference field="0" count="0"/>
        </references>
      </pivotArea>
    </format>
    <format dxfId="407">
      <pivotArea dataOnly="0" labelOnly="1" grandCol="1" outline="0" fieldPosition="0"/>
    </format>
    <format dxfId="406">
      <pivotArea dataOnly="0" labelOnly="1" fieldPosition="0">
        <references count="2">
          <reference field="0" count="1" selected="0">
            <x v="0"/>
          </reference>
          <reference field="1" count="3">
            <x v="0"/>
            <x v="1"/>
            <x v="3"/>
          </reference>
        </references>
      </pivotArea>
    </format>
    <format dxfId="405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404">
      <pivotArea grandRow="1" outline="0" collapsedLevelsAreSubtotals="1" fieldPosition="0"/>
    </format>
    <format dxfId="403">
      <pivotArea dataOnly="0" labelOnly="1" grandRow="1" outline="0" fieldPosition="0"/>
    </format>
    <format dxfId="402">
      <pivotArea dataOnly="0" labelOnly="1" fieldPosition="0">
        <references count="1">
          <reference field="0" count="0"/>
        </references>
      </pivotArea>
    </format>
    <format dxfId="401">
      <pivotArea dataOnly="0" labelOnly="1" grandCol="1" outline="0" fieldPosition="0"/>
    </format>
    <format dxfId="400">
      <pivotArea field="2" type="button" dataOnly="0" labelOnly="1" outline="0" axis="axisRow" fieldPosition="0"/>
    </format>
  </formats>
  <pivotTableStyleInfo name="Yanyong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F27341-EA6C-4134-A97C-8ABD05EBE5F6}" name="PivotTable1" cacheId="73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chartFormat="4" rowHeaderCaption="Hour of Day" colHeaderCaption=" " fieldListSortAscending="1">
  <location ref="A3:I32" firstHeaderRow="1" firstDataRow="2" firstDataCol="1"/>
  <pivotFields count="4">
    <pivotField axis="axisRow" showAll="0">
      <items count="4">
        <item n="A.M. Total" x="1"/>
        <item n="P.M. Total" x="0"/>
        <item n="Unknown hour" sd="0" x="2"/>
        <item t="default"/>
      </items>
    </pivotField>
    <pivotField name="HOUR OF DAY" axis="axisRow" showAll="0">
      <items count="26">
        <item x="1"/>
        <item x="6"/>
        <item x="2"/>
        <item x="18"/>
        <item x="5"/>
        <item x="8"/>
        <item x="13"/>
        <item x="16"/>
        <item x="15"/>
        <item x="7"/>
        <item x="11"/>
        <item x="20"/>
        <item x="4"/>
        <item x="14"/>
        <item x="9"/>
        <item x="3"/>
        <item x="12"/>
        <item x="17"/>
        <item x="10"/>
        <item x="0"/>
        <item x="19"/>
        <item x="21"/>
        <item x="22"/>
        <item x="23"/>
        <item x="24"/>
        <item t="default"/>
      </items>
    </pivotField>
    <pivotField name="DAY OF WEEK" axis="axisCol" showAll="0">
      <items count="8">
        <item x="4"/>
        <item x="6"/>
        <item x="3"/>
        <item x="5"/>
        <item x="1"/>
        <item x="0"/>
        <item x="2"/>
        <item t="default"/>
      </items>
    </pivotField>
    <pivotField dataField="1" showAll="0"/>
  </pivotFields>
  <rowFields count="2">
    <field x="0"/>
    <field x="1"/>
  </rowFields>
  <rowItems count="28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>
      <x v="2"/>
    </i>
    <i t="grand">
      <x/>
    </i>
  </rowItems>
  <colFields count="1">
    <field x="2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 " fld="3" baseField="1" baseItem="0" numFmtId="3"/>
  </dataFields>
  <formats count="40">
    <format dxfId="399">
      <pivotArea type="all" dataOnly="0" outline="0" fieldPosition="0"/>
    </format>
    <format dxfId="398">
      <pivotArea outline="0" collapsedLevelsAreSubtotals="1" fieldPosition="0"/>
    </format>
    <format dxfId="397">
      <pivotArea type="origin" dataOnly="0" labelOnly="1" outline="0" fieldPosition="0"/>
    </format>
    <format dxfId="396">
      <pivotArea type="topRight" dataOnly="0" labelOnly="1" outline="0" fieldPosition="0"/>
    </format>
    <format dxfId="395">
      <pivotArea dataOnly="0" labelOnly="1" grandRow="1" outline="0" fieldPosition="0"/>
    </format>
    <format dxfId="394">
      <pivotArea type="all" dataOnly="0" outline="0" fieldPosition="0"/>
    </format>
    <format dxfId="393">
      <pivotArea outline="0" collapsedLevelsAreSubtotals="1" fieldPosition="0"/>
    </format>
    <format dxfId="392">
      <pivotArea type="origin" dataOnly="0" labelOnly="1" outline="0" fieldPosition="0"/>
    </format>
    <format dxfId="391">
      <pivotArea type="topRight" dataOnly="0" labelOnly="1" outline="0" fieldPosition="0"/>
    </format>
    <format dxfId="390">
      <pivotArea dataOnly="0" labelOnly="1" grandRow="1" outline="0" fieldPosition="0"/>
    </format>
    <format dxfId="389">
      <pivotArea dataOnly="0" labelOnly="1" grandRow="1" outline="0" fieldPosition="0"/>
    </format>
    <format dxfId="388">
      <pivotArea field="2" type="button" dataOnly="0" labelOnly="1" outline="0" axis="axisCol" fieldPosition="0"/>
    </format>
    <format dxfId="387">
      <pivotArea field="2" type="button" dataOnly="0" labelOnly="1" outline="0" axis="axisCol" fieldPosition="0"/>
    </format>
    <format dxfId="386">
      <pivotArea dataOnly="0" labelOnly="1" grandCol="1" outline="0" fieldPosition="0"/>
    </format>
    <format dxfId="385">
      <pivotArea dataOnly="0" labelOnly="1" grandCol="1" outline="0" fieldPosition="0"/>
    </format>
    <format dxfId="384">
      <pivotArea field="1" type="button" dataOnly="0" labelOnly="1" outline="0" axis="axisRow" fieldPosition="1"/>
    </format>
    <format dxfId="383">
      <pivotArea dataOnly="0" labelOnly="1" outline="0" fieldPosition="0">
        <references count="1">
          <reference field="2" count="0"/>
        </references>
      </pivotArea>
    </format>
    <format dxfId="382">
      <pivotArea outline="0" fieldPosition="0">
        <references count="1">
          <reference field="4294967294" count="1">
            <x v="0"/>
          </reference>
        </references>
      </pivotArea>
    </format>
    <format dxfId="381">
      <pivotArea dataOnly="0" labelOnly="1" fieldPosition="0">
        <references count="1">
          <reference field="0" count="1">
            <x v="0"/>
          </reference>
        </references>
      </pivotArea>
    </format>
    <format dxfId="380">
      <pivotArea dataOnly="0" labelOnly="1" fieldPosition="0">
        <references count="1">
          <reference field="0" count="1">
            <x v="1"/>
          </reference>
        </references>
      </pivotArea>
    </format>
    <format dxfId="379">
      <pivotArea grandRow="1" outline="0" collapsedLevelsAreSubtotals="1" fieldPosition="0"/>
    </format>
    <format dxfId="378">
      <pivotArea collapsedLevelsAreSubtotals="1" fieldPosition="0">
        <references count="1">
          <reference field="0" count="1">
            <x v="1"/>
          </reference>
        </references>
      </pivotArea>
    </format>
    <format dxfId="377">
      <pivotArea collapsedLevelsAreSubtotals="1" fieldPosition="0">
        <references count="2">
          <reference field="0" count="1" selected="0">
            <x v="1"/>
          </reference>
          <reference field="1" count="12"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</reference>
        </references>
      </pivotArea>
    </format>
    <format dxfId="376">
      <pivotArea collapsedLevelsAreSubtotals="1" fieldPosition="0">
        <references count="1">
          <reference field="0" count="1">
            <x v="2"/>
          </reference>
        </references>
      </pivotArea>
    </format>
    <format dxfId="375">
      <pivotArea grandRow="1" outline="0" collapsedLevelsAreSubtotals="1" fieldPosition="0"/>
    </format>
    <format dxfId="374">
      <pivotArea outline="0" collapsedLevelsAreSubtotals="1" fieldPosition="0"/>
    </format>
    <format dxfId="373">
      <pivotArea grandRow="1" outline="0" collapsedLevelsAreSubtotals="1" fieldPosition="0"/>
    </format>
    <format dxfId="372">
      <pivotArea dataOnly="0" labelOnly="1" fieldPosition="0">
        <references count="1">
          <reference field="0" count="1">
            <x v="2"/>
          </reference>
        </references>
      </pivotArea>
    </format>
    <format dxfId="371">
      <pivotArea field="2" type="button" dataOnly="0" labelOnly="1" outline="0" axis="axisCol" fieldPosition="0"/>
    </format>
    <format dxfId="370">
      <pivotArea field="0" type="button" dataOnly="0" labelOnly="1" outline="0" axis="axisRow" fieldPosition="0"/>
    </format>
    <format dxfId="369">
      <pivotArea dataOnly="0" labelOnly="1" fieldPosition="0">
        <references count="1">
          <reference field="0" count="0"/>
        </references>
      </pivotArea>
    </format>
    <format dxfId="368">
      <pivotArea dataOnly="0" labelOnly="1" grandRow="1" outline="0" fieldPosition="0"/>
    </format>
    <format dxfId="367">
      <pivotArea dataOnly="0" labelOnly="1" fieldPosition="0">
        <references count="2">
          <reference field="0" count="1" selected="0">
            <x v="0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66">
      <pivotArea dataOnly="0" labelOnly="1" fieldPosition="0">
        <references count="2">
          <reference field="0" count="1" selected="0">
            <x v="1"/>
          </reference>
          <reference field="1" count="12"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</reference>
        </references>
      </pivotArea>
    </format>
    <format dxfId="365">
      <pivotArea field="0" type="button" dataOnly="0" labelOnly="1" outline="0" axis="axisRow" fieldPosition="0"/>
    </format>
    <format dxfId="364">
      <pivotArea dataOnly="0" labelOnly="1" fieldPosition="0">
        <references count="1">
          <reference field="0" count="0"/>
        </references>
      </pivotArea>
    </format>
    <format dxfId="363">
      <pivotArea dataOnly="0" labelOnly="1" grandRow="1" outline="0" fieldPosition="0"/>
    </format>
    <format dxfId="362">
      <pivotArea dataOnly="0" labelOnly="1" fieldPosition="0">
        <references count="2">
          <reference field="0" count="1" selected="0">
            <x v="0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61">
      <pivotArea dataOnly="0" labelOnly="1" fieldPosition="0">
        <references count="2">
          <reference field="0" count="1" selected="0">
            <x v="1"/>
          </reference>
          <reference field="1" count="12"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</reference>
        </references>
      </pivotArea>
    </format>
    <format dxfId="360">
      <pivotArea dataOnly="0" labelOnly="1" fieldPosition="0">
        <references count="1">
          <reference field="2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550601C-4903-4109-915A-BAC6A59535B6}" name="PivotTable1" cacheId="67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createdVersion="6" indent="0" outline="1" outlineData="1" multipleFieldFilters="0" chartFormat="4" rowHeaderCaption="Hour of Day" colHeaderCaption=" " fieldListSortAscending="1">
  <location ref="A3:I32" firstHeaderRow="1" firstDataRow="2" firstDataCol="1"/>
  <pivotFields count="4">
    <pivotField axis="axisRow" showAll="0">
      <items count="4">
        <item n="A.M. Total" x="1"/>
        <item n="P.M. Total" x="0"/>
        <item n="Unknown hour" sd="0" x="2"/>
        <item t="default"/>
      </items>
    </pivotField>
    <pivotField name="HOUR OF DAY" axis="axisRow" showAll="0">
      <items count="26">
        <item x="1"/>
        <item x="17"/>
        <item x="2"/>
        <item x="16"/>
        <item x="21"/>
        <item x="20"/>
        <item x="22"/>
        <item x="23"/>
        <item x="19"/>
        <item x="15"/>
        <item x="18"/>
        <item x="12"/>
        <item x="4"/>
        <item x="6"/>
        <item x="8"/>
        <item x="14"/>
        <item x="10"/>
        <item x="9"/>
        <item x="7"/>
        <item x="11"/>
        <item x="0"/>
        <item x="13"/>
        <item x="3"/>
        <item x="5"/>
        <item x="24"/>
        <item t="default"/>
      </items>
    </pivotField>
    <pivotField name="DAY OF WEEK" axis="axisCol" showAll="0">
      <items count="8">
        <item x="4"/>
        <item x="2"/>
        <item x="6"/>
        <item x="1"/>
        <item x="3"/>
        <item x="5"/>
        <item x="0"/>
        <item t="default"/>
      </items>
    </pivotField>
    <pivotField dataField="1" showAll="0"/>
  </pivotFields>
  <rowFields count="2">
    <field x="0"/>
    <field x="1"/>
  </rowFields>
  <rowItems count="28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>
      <x v="2"/>
    </i>
    <i t="grand">
      <x/>
    </i>
  </rowItems>
  <colFields count="1">
    <field x="2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 " fld="3" baseField="1" baseItem="0" numFmtId="3"/>
  </dataFields>
  <formats count="34">
    <format dxfId="359">
      <pivotArea type="all" dataOnly="0" outline="0" fieldPosition="0"/>
    </format>
    <format dxfId="358">
      <pivotArea outline="0" collapsedLevelsAreSubtotals="1" fieldPosition="0"/>
    </format>
    <format dxfId="357">
      <pivotArea type="origin" dataOnly="0" labelOnly="1" outline="0" fieldPosition="0"/>
    </format>
    <format dxfId="356">
      <pivotArea type="topRight" dataOnly="0" labelOnly="1" outline="0" fieldPosition="0"/>
    </format>
    <format dxfId="355">
      <pivotArea dataOnly="0" labelOnly="1" grandRow="1" outline="0" fieldPosition="0"/>
    </format>
    <format dxfId="354">
      <pivotArea type="all" dataOnly="0" outline="0" fieldPosition="0"/>
    </format>
    <format dxfId="353">
      <pivotArea outline="0" collapsedLevelsAreSubtotals="1" fieldPosition="0"/>
    </format>
    <format dxfId="352">
      <pivotArea type="origin" dataOnly="0" labelOnly="1" outline="0" fieldPosition="0"/>
    </format>
    <format dxfId="351">
      <pivotArea type="topRight" dataOnly="0" labelOnly="1" outline="0" fieldPosition="0"/>
    </format>
    <format dxfId="350">
      <pivotArea dataOnly="0" labelOnly="1" grandRow="1" outline="0" fieldPosition="0"/>
    </format>
    <format dxfId="349">
      <pivotArea dataOnly="0" labelOnly="1" grandRow="1" outline="0" fieldPosition="0"/>
    </format>
    <format dxfId="348">
      <pivotArea field="2" type="button" dataOnly="0" labelOnly="1" outline="0" axis="axisCol" fieldPosition="0"/>
    </format>
    <format dxfId="347">
      <pivotArea field="2" type="button" dataOnly="0" labelOnly="1" outline="0" axis="axisCol" fieldPosition="0"/>
    </format>
    <format dxfId="346">
      <pivotArea dataOnly="0" labelOnly="1" grandCol="1" outline="0" fieldPosition="0"/>
    </format>
    <format dxfId="345">
      <pivotArea dataOnly="0" labelOnly="1" grandCol="1" outline="0" fieldPosition="0"/>
    </format>
    <format dxfId="344">
      <pivotArea field="1" type="button" dataOnly="0" labelOnly="1" outline="0" axis="axisRow" fieldPosition="1"/>
    </format>
    <format dxfId="343">
      <pivotArea dataOnly="0" labelOnly="1" outline="0" fieldPosition="0">
        <references count="1">
          <reference field="2" count="0"/>
        </references>
      </pivotArea>
    </format>
    <format dxfId="342">
      <pivotArea outline="0" fieldPosition="0">
        <references count="1">
          <reference field="4294967294" count="1">
            <x v="0"/>
          </reference>
        </references>
      </pivotArea>
    </format>
    <format dxfId="341">
      <pivotArea dataOnly="0" labelOnly="1" fieldPosition="0">
        <references count="1">
          <reference field="0" count="1">
            <x v="0"/>
          </reference>
        </references>
      </pivotArea>
    </format>
    <format dxfId="340">
      <pivotArea dataOnly="0" labelOnly="1" fieldPosition="0">
        <references count="1">
          <reference field="0" count="1">
            <x v="1"/>
          </reference>
        </references>
      </pivotArea>
    </format>
    <format dxfId="339">
      <pivotArea dataOnly="0" labelOnly="1" fieldPosition="0">
        <references count="1">
          <reference field="0" count="1">
            <x v="2"/>
          </reference>
        </references>
      </pivotArea>
    </format>
    <format dxfId="338">
      <pivotArea grandRow="1" outline="0" collapsedLevelsAreSubtotals="1" fieldPosition="0"/>
    </format>
    <format dxfId="337">
      <pivotArea field="2" type="button" dataOnly="0" labelOnly="1" outline="0" axis="axisCol" fieldPosition="0"/>
    </format>
    <format dxfId="336">
      <pivotArea field="0" type="button" dataOnly="0" labelOnly="1" outline="0" axis="axisRow" fieldPosition="0"/>
    </format>
    <format dxfId="335">
      <pivotArea dataOnly="0" labelOnly="1" fieldPosition="0">
        <references count="1">
          <reference field="0" count="0"/>
        </references>
      </pivotArea>
    </format>
    <format dxfId="334">
      <pivotArea dataOnly="0" labelOnly="1" grandRow="1" outline="0" fieldPosition="0"/>
    </format>
    <format dxfId="333">
      <pivotArea dataOnly="0" labelOnly="1" fieldPosition="0">
        <references count="2">
          <reference field="0" count="1" selected="0">
            <x v="0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32">
      <pivotArea dataOnly="0" labelOnly="1" fieldPosition="0">
        <references count="2">
          <reference field="0" count="1" selected="0">
            <x v="1"/>
          </reference>
          <reference field="1" count="12"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</reference>
        </references>
      </pivotArea>
    </format>
    <format dxfId="331">
      <pivotArea field="0" type="button" dataOnly="0" labelOnly="1" outline="0" axis="axisRow" fieldPosition="0"/>
    </format>
    <format dxfId="330">
      <pivotArea dataOnly="0" labelOnly="1" fieldPosition="0">
        <references count="1">
          <reference field="0" count="0"/>
        </references>
      </pivotArea>
    </format>
    <format dxfId="329">
      <pivotArea dataOnly="0" labelOnly="1" grandRow="1" outline="0" fieldPosition="0"/>
    </format>
    <format dxfId="328">
      <pivotArea dataOnly="0" labelOnly="1" fieldPosition="0">
        <references count="2">
          <reference field="0" count="1" selected="0">
            <x v="0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27">
      <pivotArea dataOnly="0" labelOnly="1" fieldPosition="0">
        <references count="2">
          <reference field="0" count="1" selected="0">
            <x v="1"/>
          </reference>
          <reference field="1" count="12"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</reference>
        </references>
      </pivotArea>
    </format>
    <format dxfId="326">
      <pivotArea dataOnly="0" labelOnly="1" fieldPosition="0">
        <references count="1">
          <reference field="2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6C0718-65B3-4D12-945E-32C40D6C7831}" name="PivotTable1" cacheId="66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chartFormat="4" rowHeaderCaption="County" colHeaderCaption=" " fieldListSortAscending="1">
  <location ref="A3:N59" firstHeaderRow="1" firstDataRow="2" firstDataCol="1"/>
  <pivotFields count="3">
    <pivotField axis="axisRow" showAll="0" sortType="ascending">
      <items count="55">
        <item x="1"/>
        <item x="7"/>
        <item x="9"/>
        <item x="10"/>
        <item x="51"/>
        <item x="2"/>
        <item x="19"/>
        <item x="0"/>
        <item x="52"/>
        <item x="27"/>
        <item x="31"/>
        <item x="34"/>
        <item x="32"/>
        <item x="37"/>
        <item x="28"/>
        <item x="36"/>
        <item x="4"/>
        <item x="45"/>
        <item x="53"/>
        <item x="21"/>
        <item x="30"/>
        <item x="47"/>
        <item x="49"/>
        <item x="3"/>
        <item x="48"/>
        <item x="18"/>
        <item x="6"/>
        <item x="44"/>
        <item x="46"/>
        <item x="5"/>
        <item x="29"/>
        <item x="50"/>
        <item x="11"/>
        <item x="15"/>
        <item x="22"/>
        <item x="8"/>
        <item x="40"/>
        <item x="42"/>
        <item x="41"/>
        <item x="17"/>
        <item x="13"/>
        <item x="23"/>
        <item x="12"/>
        <item x="24"/>
        <item x="25"/>
        <item x="38"/>
        <item x="16"/>
        <item x="26"/>
        <item x="43"/>
        <item x="14"/>
        <item x="39"/>
        <item x="35"/>
        <item x="33"/>
        <item x="20"/>
        <item t="default"/>
      </items>
    </pivotField>
    <pivotField name="DAY OF WEEK" axis="axisCol" showAll="0">
      <items count="13">
        <item x="5"/>
        <item x="6"/>
        <item x="1"/>
        <item x="10"/>
        <item x="0"/>
        <item x="2"/>
        <item x="3"/>
        <item x="7"/>
        <item x="4"/>
        <item x="11"/>
        <item x="8"/>
        <item x="9"/>
        <item t="default"/>
      </items>
    </pivotField>
    <pivotField dataField="1" showAll="0"/>
  </pivotFields>
  <rowFields count="1">
    <field x="0"/>
  </rowFields>
  <rowItems count="5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2" baseField="0" baseItem="0" numFmtId="3"/>
  </dataFields>
  <formats count="23">
    <format dxfId="325">
      <pivotArea type="all" dataOnly="0" outline="0" fieldPosition="0"/>
    </format>
    <format dxfId="324">
      <pivotArea outline="0" collapsedLevelsAreSubtotals="1" fieldPosition="0"/>
    </format>
    <format dxfId="323">
      <pivotArea type="origin" dataOnly="0" labelOnly="1" outline="0" fieldPosition="0"/>
    </format>
    <format dxfId="322">
      <pivotArea type="topRight" dataOnly="0" labelOnly="1" outline="0" fieldPosition="0"/>
    </format>
    <format dxfId="321">
      <pivotArea dataOnly="0" labelOnly="1" grandRow="1" outline="0" fieldPosition="0"/>
    </format>
    <format dxfId="320">
      <pivotArea type="all" dataOnly="0" outline="0" fieldPosition="0"/>
    </format>
    <format dxfId="319">
      <pivotArea outline="0" collapsedLevelsAreSubtotals="1" fieldPosition="0"/>
    </format>
    <format dxfId="318">
      <pivotArea type="origin" dataOnly="0" labelOnly="1" outline="0" fieldPosition="0"/>
    </format>
    <format dxfId="317">
      <pivotArea type="topRight" dataOnly="0" labelOnly="1" outline="0" fieldPosition="0"/>
    </format>
    <format dxfId="316">
      <pivotArea dataOnly="0" labelOnly="1" grandRow="1" outline="0" fieldPosition="0"/>
    </format>
    <format dxfId="315">
      <pivotArea dataOnly="0" labelOnly="1" grandRow="1" outline="0" fieldPosition="0"/>
    </format>
    <format dxfId="314">
      <pivotArea field="1" type="button" dataOnly="0" labelOnly="1" outline="0" axis="axisCol" fieldPosition="0"/>
    </format>
    <format dxfId="313">
      <pivotArea field="1" type="button" dataOnly="0" labelOnly="1" outline="0" axis="axisCol" fieldPosition="0"/>
    </format>
    <format dxfId="312">
      <pivotArea dataOnly="0" labelOnly="1" grandCol="1" outline="0" fieldPosition="0"/>
    </format>
    <format dxfId="311">
      <pivotArea dataOnly="0" labelOnly="1" grandCol="1" outline="0" fieldPosition="0"/>
    </format>
    <format dxfId="310">
      <pivotArea dataOnly="0" labelOnly="1" grandRow="1" outline="0" fieldPosition="0"/>
    </format>
    <format dxfId="309">
      <pivotArea dataOnly="0" labelOnly="1" outline="0" fieldPosition="0">
        <references count="1">
          <reference field="1" count="0"/>
        </references>
      </pivotArea>
    </format>
    <format dxfId="308">
      <pivotArea field="0" type="button" dataOnly="0" labelOnly="1" outline="0" axis="axisRow" fieldPosition="0"/>
    </format>
    <format dxfId="307">
      <pivotArea outline="0" fieldPosition="0">
        <references count="1">
          <reference field="4294967294" count="1">
            <x v="0"/>
          </reference>
        </references>
      </pivotArea>
    </format>
    <format dxfId="306">
      <pivotArea dataOnly="0" labelOnly="1" grandCol="1" outline="0" fieldPosition="0"/>
    </format>
    <format dxfId="305">
      <pivotArea field="1" type="button" dataOnly="0" labelOnly="1" outline="0" axis="axisCol" fieldPosition="0"/>
    </format>
    <format dxfId="304">
      <pivotArea grandRow="1" outline="0" collapsedLevelsAreSubtotals="1" fieldPosition="0"/>
    </format>
    <format dxfId="303">
      <pivotArea dataOnly="0" labelOnly="1" fieldPosition="0">
        <references count="1">
          <reference field="1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F40AB9-70D0-407A-A25A-DC7FC75AFA97}" name="PivotTable2" cacheId="65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rowHeaderCaption="County" colHeaderCaption=" " fieldListSortAscending="1">
  <location ref="A3:N59" firstHeaderRow="1" firstDataRow="2" firstDataCol="1"/>
  <pivotFields count="3">
    <pivotField axis="axisRow" showAll="0" sortType="ascending">
      <items count="55">
        <item x="14"/>
        <item x="8"/>
        <item x="26"/>
        <item x="27"/>
        <item x="24"/>
        <item x="11"/>
        <item x="48"/>
        <item x="36"/>
        <item x="32"/>
        <item x="44"/>
        <item x="13"/>
        <item x="50"/>
        <item x="3"/>
        <item x="53"/>
        <item x="39"/>
        <item x="52"/>
        <item x="5"/>
        <item x="12"/>
        <item x="34"/>
        <item x="37"/>
        <item x="45"/>
        <item x="16"/>
        <item x="43"/>
        <item x="38"/>
        <item x="28"/>
        <item x="33"/>
        <item x="9"/>
        <item x="20"/>
        <item x="30"/>
        <item x="19"/>
        <item x="1"/>
        <item x="29"/>
        <item x="7"/>
        <item x="4"/>
        <item x="41"/>
        <item x="2"/>
        <item x="35"/>
        <item x="40"/>
        <item x="25"/>
        <item x="23"/>
        <item x="6"/>
        <item x="17"/>
        <item x="51"/>
        <item x="18"/>
        <item x="21"/>
        <item x="0"/>
        <item x="42"/>
        <item x="22"/>
        <item x="47"/>
        <item x="31"/>
        <item x="46"/>
        <item x="15"/>
        <item x="10"/>
        <item x="49"/>
        <item t="default"/>
      </items>
    </pivotField>
    <pivotField axis="axisCol" showAll="0">
      <items count="13">
        <item x="6"/>
        <item x="8"/>
        <item x="7"/>
        <item x="1"/>
        <item x="2"/>
        <item x="0"/>
        <item x="5"/>
        <item x="4"/>
        <item x="3"/>
        <item x="11"/>
        <item x="9"/>
        <item x="10"/>
        <item t="default"/>
      </items>
    </pivotField>
    <pivotField dataField="1" showAll="0"/>
  </pivotFields>
  <rowFields count="1">
    <field x="0"/>
  </rowFields>
  <rowItems count="5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2" baseField="0" baseItem="52" numFmtId="3"/>
  </dataFields>
  <formats count="32">
    <format dxfId="302">
      <pivotArea dataOnly="0" labelOnly="1" fieldPosition="0">
        <references count="1">
          <reference field="1" count="0"/>
        </references>
      </pivotArea>
    </format>
    <format dxfId="301">
      <pivotArea dataOnly="0" labelOnly="1" grandCol="1" outline="0" fieldPosition="0"/>
    </format>
    <format dxfId="300">
      <pivotArea type="all" dataOnly="0" outline="0" fieldPosition="0"/>
    </format>
    <format dxfId="299">
      <pivotArea outline="0" collapsedLevelsAreSubtotals="1" fieldPosition="0"/>
    </format>
    <format dxfId="298">
      <pivotArea type="origin" dataOnly="0" labelOnly="1" outline="0" fieldPosition="0"/>
    </format>
    <format dxfId="297">
      <pivotArea field="1" type="button" dataOnly="0" labelOnly="1" outline="0" axis="axisCol" fieldPosition="0"/>
    </format>
    <format dxfId="296">
      <pivotArea type="topRight" dataOnly="0" labelOnly="1" outline="0" fieldPosition="0"/>
    </format>
    <format dxfId="295">
      <pivotArea field="0" type="button" dataOnly="0" labelOnly="1" outline="0" axis="axisRow" fieldPosition="0"/>
    </format>
    <format dxfId="294">
      <pivotArea dataOnly="0" labelOnly="1" fieldPosition="0">
        <references count="1">
          <reference field="0" count="46">
            <x v="0"/>
            <x v="1"/>
            <x v="2"/>
            <x v="3"/>
            <x v="4"/>
            <x v="5"/>
            <x v="6"/>
            <x v="7"/>
            <x v="8"/>
            <x v="9"/>
            <x v="10"/>
            <x v="12"/>
            <x v="13"/>
            <x v="14"/>
            <x v="15"/>
            <x v="16"/>
            <x v="17"/>
            <x v="19"/>
            <x v="20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</reference>
        </references>
      </pivotArea>
    </format>
    <format dxfId="293">
      <pivotArea dataOnly="0" labelOnly="1" fieldPosition="0">
        <references count="1">
          <reference field="0" count="5">
            <x v="49"/>
            <x v="50"/>
            <x v="51"/>
            <x v="52"/>
            <x v="53"/>
          </reference>
        </references>
      </pivotArea>
    </format>
    <format dxfId="292">
      <pivotArea dataOnly="0" labelOnly="1" grandRow="1" outline="0" fieldPosition="0"/>
    </format>
    <format dxfId="291">
      <pivotArea dataOnly="0" labelOnly="1" fieldPosition="0">
        <references count="1">
          <reference field="1" count="0"/>
        </references>
      </pivotArea>
    </format>
    <format dxfId="290">
      <pivotArea dataOnly="0" labelOnly="1" grandCol="1" outline="0" fieldPosition="0"/>
    </format>
    <format dxfId="289">
      <pivotArea type="all" dataOnly="0" outline="0" fieldPosition="0"/>
    </format>
    <format dxfId="288">
      <pivotArea outline="0" collapsedLevelsAreSubtotals="1" fieldPosition="0"/>
    </format>
    <format dxfId="287">
      <pivotArea type="origin" dataOnly="0" labelOnly="1" outline="0" fieldPosition="0"/>
    </format>
    <format dxfId="286">
      <pivotArea field="1" type="button" dataOnly="0" labelOnly="1" outline="0" axis="axisCol" fieldPosition="0"/>
    </format>
    <format dxfId="285">
      <pivotArea type="topRight" dataOnly="0" labelOnly="1" outline="0" fieldPosition="0"/>
    </format>
    <format dxfId="284">
      <pivotArea field="0" type="button" dataOnly="0" labelOnly="1" outline="0" axis="axisRow" fieldPosition="0"/>
    </format>
    <format dxfId="283">
      <pivotArea dataOnly="0" labelOnly="1" fieldPosition="0">
        <references count="1">
          <reference field="0" count="46">
            <x v="0"/>
            <x v="1"/>
            <x v="2"/>
            <x v="3"/>
            <x v="4"/>
            <x v="5"/>
            <x v="6"/>
            <x v="7"/>
            <x v="8"/>
            <x v="9"/>
            <x v="10"/>
            <x v="12"/>
            <x v="13"/>
            <x v="14"/>
            <x v="15"/>
            <x v="16"/>
            <x v="17"/>
            <x v="19"/>
            <x v="20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</reference>
        </references>
      </pivotArea>
    </format>
    <format dxfId="282">
      <pivotArea dataOnly="0" labelOnly="1" fieldPosition="0">
        <references count="1">
          <reference field="0" count="5">
            <x v="49"/>
            <x v="50"/>
            <x v="51"/>
            <x v="52"/>
            <x v="53"/>
          </reference>
        </references>
      </pivotArea>
    </format>
    <format dxfId="281">
      <pivotArea dataOnly="0" labelOnly="1" grandRow="1" outline="0" fieldPosition="0"/>
    </format>
    <format dxfId="280">
      <pivotArea dataOnly="0" labelOnly="1" fieldPosition="0">
        <references count="1">
          <reference field="1" count="0"/>
        </references>
      </pivotArea>
    </format>
    <format dxfId="279">
      <pivotArea dataOnly="0" labelOnly="1" grandCol="1" outline="0" fieldPosition="0"/>
    </format>
    <format dxfId="278">
      <pivotArea field="0" type="button" dataOnly="0" labelOnly="1" outline="0" axis="axisRow" fieldPosition="0"/>
    </format>
    <format dxfId="277">
      <pivotArea field="1" type="button" dataOnly="0" labelOnly="1" outline="0" axis="axisCol" fieldPosition="0"/>
    </format>
    <format dxfId="276">
      <pivotArea dataOnly="0" labelOnly="1" grandRow="1" outline="0" fieldPosition="0"/>
    </format>
    <format dxfId="275">
      <pivotArea dataOnly="0" labelOnly="1" grandCol="1" outline="0" fieldPosition="0"/>
    </format>
    <format dxfId="274">
      <pivotArea outline="0" fieldPosition="0">
        <references count="1">
          <reference field="4294967294" count="1">
            <x v="0"/>
          </reference>
        </references>
      </pivotArea>
    </format>
    <format dxfId="273">
      <pivotArea field="1" type="button" dataOnly="0" labelOnly="1" outline="0" axis="axisCol" fieldPosition="0"/>
    </format>
    <format dxfId="272">
      <pivotArea grandRow="1" outline="0" collapsedLevelsAreSubtotals="1" fieldPosition="0"/>
    </format>
    <format dxfId="271">
      <pivotArea dataOnly="0" labelOnly="1" fieldPosition="0">
        <references count="1">
          <reference field="1" count="0"/>
        </references>
      </pivotArea>
    </format>
  </formats>
  <pivotTableStyleInfo name="Yanyong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1735BE-14BC-4212-BC02-32F4AB317364}" name="PivotTable1" cacheId="64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chartFormat="4" rowHeaderCaption="County" colHeaderCaption=" " fieldListSortAscending="1">
  <location ref="A3:N63" firstHeaderRow="1" firstDataRow="2" firstDataCol="1"/>
  <pivotFields count="3">
    <pivotField axis="axisRow" showAll="0" sortType="ascending">
      <items count="59">
        <item x="2"/>
        <item x="47"/>
        <item x="12"/>
        <item x="1"/>
        <item x="18"/>
        <item x="50"/>
        <item x="0"/>
        <item x="54"/>
        <item x="19"/>
        <item x="4"/>
        <item x="31"/>
        <item x="5"/>
        <item x="21"/>
        <item x="57"/>
        <item x="6"/>
        <item x="15"/>
        <item x="16"/>
        <item x="13"/>
        <item x="3"/>
        <item x="45"/>
        <item x="8"/>
        <item x="52"/>
        <item x="9"/>
        <item x="10"/>
        <item x="42"/>
        <item x="56"/>
        <item x="7"/>
        <item x="17"/>
        <item x="20"/>
        <item x="14"/>
        <item x="30"/>
        <item x="49"/>
        <item x="11"/>
        <item x="27"/>
        <item x="32"/>
        <item x="25"/>
        <item x="26"/>
        <item x="41"/>
        <item x="22"/>
        <item x="23"/>
        <item x="28"/>
        <item x="33"/>
        <item x="24"/>
        <item x="29"/>
        <item x="39"/>
        <item x="53"/>
        <item x="40"/>
        <item x="36"/>
        <item x="34"/>
        <item x="35"/>
        <item x="44"/>
        <item x="51"/>
        <item x="48"/>
        <item x="38"/>
        <item x="55"/>
        <item x="37"/>
        <item x="43"/>
        <item x="46"/>
        <item t="default"/>
      </items>
    </pivotField>
    <pivotField name="DAY OF WEEK" axis="axisCol" showAll="0">
      <items count="13">
        <item x="9"/>
        <item x="8"/>
        <item x="10"/>
        <item x="11"/>
        <item x="7"/>
        <item x="1"/>
        <item x="2"/>
        <item x="3"/>
        <item x="4"/>
        <item x="5"/>
        <item x="0"/>
        <item x="6"/>
        <item t="default"/>
      </items>
    </pivotField>
    <pivotField dataField="1" showAll="0"/>
  </pivotFields>
  <rowFields count="1">
    <field x="0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2" baseField="0" baseItem="0" numFmtId="3"/>
  </dataFields>
  <formats count="22">
    <format dxfId="270">
      <pivotArea type="all" dataOnly="0" outline="0" fieldPosition="0"/>
    </format>
    <format dxfId="269">
      <pivotArea outline="0" collapsedLevelsAreSubtotals="1" fieldPosition="0"/>
    </format>
    <format dxfId="268">
      <pivotArea type="origin" dataOnly="0" labelOnly="1" outline="0" fieldPosition="0"/>
    </format>
    <format dxfId="267">
      <pivotArea type="topRight" dataOnly="0" labelOnly="1" outline="0" fieldPosition="0"/>
    </format>
    <format dxfId="266">
      <pivotArea dataOnly="0" labelOnly="1" grandRow="1" outline="0" fieldPosition="0"/>
    </format>
    <format dxfId="265">
      <pivotArea type="all" dataOnly="0" outline="0" fieldPosition="0"/>
    </format>
    <format dxfId="264">
      <pivotArea outline="0" collapsedLevelsAreSubtotals="1" fieldPosition="0"/>
    </format>
    <format dxfId="263">
      <pivotArea type="origin" dataOnly="0" labelOnly="1" outline="0" fieldPosition="0"/>
    </format>
    <format dxfId="262">
      <pivotArea type="topRight" dataOnly="0" labelOnly="1" outline="0" fieldPosition="0"/>
    </format>
    <format dxfId="261">
      <pivotArea dataOnly="0" labelOnly="1" grandRow="1" outline="0" fieldPosition="0"/>
    </format>
    <format dxfId="260">
      <pivotArea dataOnly="0" labelOnly="1" grandRow="1" outline="0" fieldPosition="0"/>
    </format>
    <format dxfId="259">
      <pivotArea field="1" type="button" dataOnly="0" labelOnly="1" outline="0" axis="axisCol" fieldPosition="0"/>
    </format>
    <format dxfId="258">
      <pivotArea field="1" type="button" dataOnly="0" labelOnly="1" outline="0" axis="axisCol" fieldPosition="0"/>
    </format>
    <format dxfId="257">
      <pivotArea dataOnly="0" labelOnly="1" grandCol="1" outline="0" fieldPosition="0"/>
    </format>
    <format dxfId="256">
      <pivotArea dataOnly="0" labelOnly="1" grandCol="1" outline="0" fieldPosition="0"/>
    </format>
    <format dxfId="255">
      <pivotArea dataOnly="0" labelOnly="1" grandRow="1" outline="0" fieldPosition="0"/>
    </format>
    <format dxfId="254">
      <pivotArea dataOnly="0" labelOnly="1" outline="0" fieldPosition="0">
        <references count="1">
          <reference field="1" count="0"/>
        </references>
      </pivotArea>
    </format>
    <format dxfId="253">
      <pivotArea field="0" type="button" dataOnly="0" labelOnly="1" outline="0" axis="axisRow" fieldPosition="0"/>
    </format>
    <format dxfId="252">
      <pivotArea outline="0" fieldPosition="0">
        <references count="1">
          <reference field="4294967294" count="1">
            <x v="0"/>
          </reference>
        </references>
      </pivotArea>
    </format>
    <format dxfId="251">
      <pivotArea field="1" type="button" dataOnly="0" labelOnly="1" outline="0" axis="axisCol" fieldPosition="0"/>
    </format>
    <format dxfId="250">
      <pivotArea grandRow="1" outline="0" collapsedLevelsAreSubtotals="1" fieldPosition="0"/>
    </format>
    <format dxfId="249">
      <pivotArea dataOnly="0" labelOnly="1" fieldPosition="0">
        <references count="1">
          <reference field="1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1885CF-AF33-48FA-A105-37DAC9570910}" name="PivotTable6" cacheId="63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rowHeaderCaption="County" colHeaderCaption=" " fieldListSortAscending="1">
  <location ref="A3:N63" firstHeaderRow="1" firstDataRow="2" firstDataCol="1"/>
  <pivotFields count="3">
    <pivotField axis="axisRow" showAll="0" sortType="ascending">
      <items count="59">
        <item x="8"/>
        <item x="54"/>
        <item x="18"/>
        <item x="0"/>
        <item x="2"/>
        <item x="41"/>
        <item x="1"/>
        <item x="53"/>
        <item x="30"/>
        <item x="3"/>
        <item x="42"/>
        <item x="26"/>
        <item x="21"/>
        <item x="39"/>
        <item x="10"/>
        <item x="12"/>
        <item x="11"/>
        <item x="15"/>
        <item x="4"/>
        <item x="22"/>
        <item x="13"/>
        <item x="56"/>
        <item x="19"/>
        <item x="6"/>
        <item x="48"/>
        <item x="55"/>
        <item x="9"/>
        <item x="17"/>
        <item x="14"/>
        <item x="7"/>
        <item x="23"/>
        <item x="52"/>
        <item x="5"/>
        <item x="16"/>
        <item x="28"/>
        <item x="25"/>
        <item x="20"/>
        <item x="38"/>
        <item x="24"/>
        <item x="32"/>
        <item x="33"/>
        <item x="29"/>
        <item x="27"/>
        <item x="36"/>
        <item x="37"/>
        <item x="50"/>
        <item x="34"/>
        <item x="43"/>
        <item x="44"/>
        <item x="45"/>
        <item x="40"/>
        <item x="49"/>
        <item x="57"/>
        <item x="35"/>
        <item x="51"/>
        <item x="31"/>
        <item x="46"/>
        <item x="47"/>
        <item t="default"/>
      </items>
    </pivotField>
    <pivotField axis="axisCol" showAll="0">
      <items count="13">
        <item x="4"/>
        <item x="1"/>
        <item x="0"/>
        <item x="2"/>
        <item x="3"/>
        <item x="5"/>
        <item x="8"/>
        <item x="6"/>
        <item x="9"/>
        <item x="7"/>
        <item x="10"/>
        <item x="11"/>
        <item t="default"/>
      </items>
    </pivotField>
    <pivotField dataField="1" showAll="0"/>
  </pivotFields>
  <rowFields count="1">
    <field x="0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2" baseField="0" baseItem="0" numFmtId="3"/>
  </dataFields>
  <formats count="43">
    <format dxfId="248">
      <pivotArea type="all" dataOnly="0" outline="0" fieldPosition="0"/>
    </format>
    <format dxfId="247">
      <pivotArea outline="0" collapsedLevelsAreSubtotals="1" fieldPosition="0"/>
    </format>
    <format dxfId="246">
      <pivotArea type="origin" dataOnly="0" labelOnly="1" outline="0" fieldPosition="0"/>
    </format>
    <format dxfId="245">
      <pivotArea field="1" type="button" dataOnly="0" labelOnly="1" outline="0" axis="axisCol" fieldPosition="0"/>
    </format>
    <format dxfId="244">
      <pivotArea type="topRight" dataOnly="0" labelOnly="1" outline="0" fieldPosition="0"/>
    </format>
    <format dxfId="243">
      <pivotArea field="0" type="button" dataOnly="0" labelOnly="1" outline="0" axis="axisRow" fieldPosition="0"/>
    </format>
    <format dxfId="242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41">
      <pivotArea dataOnly="0" labelOnly="1" fieldPosition="0">
        <references count="1">
          <reference field="0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240">
      <pivotArea dataOnly="0" labelOnly="1" grandRow="1" outline="0" fieldPosition="0"/>
    </format>
    <format dxfId="239">
      <pivotArea dataOnly="0" labelOnly="1" fieldPosition="0">
        <references count="1">
          <reference field="1" count="0"/>
        </references>
      </pivotArea>
    </format>
    <format dxfId="238">
      <pivotArea dataOnly="0" labelOnly="1" grandCol="1" outline="0" fieldPosition="0"/>
    </format>
    <format dxfId="237">
      <pivotArea type="all" dataOnly="0" outline="0" fieldPosition="0"/>
    </format>
    <format dxfId="236">
      <pivotArea outline="0" collapsedLevelsAreSubtotals="1" fieldPosition="0"/>
    </format>
    <format dxfId="235">
      <pivotArea type="origin" dataOnly="0" labelOnly="1" outline="0" fieldPosition="0"/>
    </format>
    <format dxfId="234">
      <pivotArea field="1" type="button" dataOnly="0" labelOnly="1" outline="0" axis="axisCol" fieldPosition="0"/>
    </format>
    <format dxfId="233">
      <pivotArea type="topRight" dataOnly="0" labelOnly="1" outline="0" fieldPosition="0"/>
    </format>
    <format dxfId="232">
      <pivotArea field="0" type="button" dataOnly="0" labelOnly="1" outline="0" axis="axisRow" fieldPosition="0"/>
    </format>
    <format dxfId="231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30">
      <pivotArea dataOnly="0" labelOnly="1" fieldPosition="0">
        <references count="1">
          <reference field="0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229">
      <pivotArea dataOnly="0" labelOnly="1" grandRow="1" outline="0" fieldPosition="0"/>
    </format>
    <format dxfId="228">
      <pivotArea dataOnly="0" labelOnly="1" fieldPosition="0">
        <references count="1">
          <reference field="1" count="0"/>
        </references>
      </pivotArea>
    </format>
    <format dxfId="227">
      <pivotArea dataOnly="0" labelOnly="1" grandCol="1" outline="0" fieldPosition="0"/>
    </format>
    <format dxfId="226">
      <pivotArea type="all" dataOnly="0" outline="0" fieldPosition="0"/>
    </format>
    <format dxfId="225">
      <pivotArea outline="0" collapsedLevelsAreSubtotals="1" fieldPosition="0"/>
    </format>
    <format dxfId="224">
      <pivotArea type="origin" dataOnly="0" labelOnly="1" outline="0" fieldPosition="0"/>
    </format>
    <format dxfId="223">
      <pivotArea field="1" type="button" dataOnly="0" labelOnly="1" outline="0" axis="axisCol" fieldPosition="0"/>
    </format>
    <format dxfId="222">
      <pivotArea type="topRight" dataOnly="0" labelOnly="1" outline="0" fieldPosition="0"/>
    </format>
    <format dxfId="221">
      <pivotArea field="0" type="button" dataOnly="0" labelOnly="1" outline="0" axis="axisRow" fieldPosition="0"/>
    </format>
    <format dxfId="220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19">
      <pivotArea dataOnly="0" labelOnly="1" fieldPosition="0">
        <references count="1">
          <reference field="0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218">
      <pivotArea dataOnly="0" labelOnly="1" grandRow="1" outline="0" fieldPosition="0"/>
    </format>
    <format dxfId="217">
      <pivotArea dataOnly="0" labelOnly="1" fieldPosition="0">
        <references count="1">
          <reference field="1" count="0"/>
        </references>
      </pivotArea>
    </format>
    <format dxfId="216">
      <pivotArea dataOnly="0" labelOnly="1" grandCol="1" outline="0" fieldPosition="0"/>
    </format>
    <format dxfId="215">
      <pivotArea dataOnly="0" labelOnly="1" fieldPosition="0">
        <references count="1">
          <reference field="1" count="0"/>
        </references>
      </pivotArea>
    </format>
    <format dxfId="214">
      <pivotArea dataOnly="0" labelOnly="1" grandCol="1" outline="0" fieldPosition="0"/>
    </format>
    <format dxfId="213">
      <pivotArea outline="0" fieldPosition="0">
        <references count="1">
          <reference field="4294967294" count="1">
            <x v="0"/>
          </reference>
        </references>
      </pivotArea>
    </format>
    <format dxfId="212">
      <pivotArea field="1" type="button" dataOnly="0" labelOnly="1" outline="0" axis="axisCol" fieldPosition="0"/>
    </format>
    <format dxfId="211">
      <pivotArea field="1" type="button" dataOnly="0" labelOnly="1" outline="0" axis="axisCol" fieldPosition="0"/>
    </format>
    <format dxfId="210">
      <pivotArea field="0" type="button" dataOnly="0" labelOnly="1" outline="0" axis="axisRow" fieldPosition="0"/>
    </format>
    <format dxfId="209">
      <pivotArea dataOnly="0" labelOnly="1" grandCol="1" outline="0" fieldPosition="0"/>
    </format>
    <format dxfId="208">
      <pivotArea grandRow="1" outline="0" collapsedLevelsAreSubtotals="1" fieldPosition="0"/>
    </format>
    <format dxfId="207">
      <pivotArea dataOnly="0" labelOnly="1" grandRow="1" outline="0" fieldPosition="0"/>
    </format>
    <format dxfId="206">
      <pivotArea dataOnly="0" labelOnly="1" fieldPosition="0">
        <references count="1">
          <reference field="1" count="0"/>
        </references>
      </pivotArea>
    </format>
  </formats>
  <pivotTableStyleInfo name="ADA 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C5E47-C6E2-4434-BE93-D325C511B107}" name="PivotTable1" cacheId="80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colGrandTotals="0" itemPrintTitles="1" createdVersion="6" indent="0" outline="1" outlineData="1" multipleFieldFilters="0" rowHeaderCaption="Age" colHeaderCaption=" " fieldListSortAscending="1">
  <location ref="A3:O64" firstHeaderRow="1" firstDataRow="3" firstDataCol="1"/>
  <pivotFields count="9">
    <pivotField axis="axisRow" subtotalTop="0" showAll="0" defaultSubtotal="0">
      <items count="58">
        <item x="54"/>
        <item x="40"/>
        <item x="13"/>
        <item x="53"/>
        <item x="14"/>
        <item x="15"/>
        <item x="3"/>
        <item x="0"/>
        <item x="43"/>
        <item x="6"/>
        <item x="17"/>
        <item x="44"/>
        <item x="18"/>
        <item x="45"/>
        <item x="31"/>
        <item x="19"/>
        <item x="4"/>
        <item x="36"/>
        <item x="46"/>
        <item x="20"/>
        <item x="21"/>
        <item x="7"/>
        <item x="22"/>
        <item x="32"/>
        <item x="33"/>
        <item x="47"/>
        <item x="38"/>
        <item x="55"/>
        <item x="23"/>
        <item x="39"/>
        <item x="24"/>
        <item x="25"/>
        <item x="8"/>
        <item x="56"/>
        <item x="50"/>
        <item x="51"/>
        <item x="26"/>
        <item x="34"/>
        <item x="48"/>
        <item x="9"/>
        <item x="49"/>
        <item x="27"/>
        <item x="10"/>
        <item x="35"/>
        <item x="1"/>
        <item x="5"/>
        <item x="57"/>
        <item x="28"/>
        <item x="11"/>
        <item x="41"/>
        <item x="29"/>
        <item x="12"/>
        <item x="42"/>
        <item x="37"/>
        <item x="52"/>
        <item x="2"/>
        <item x="30"/>
        <item n="Not stated" x="16"/>
      </items>
    </pivotField>
    <pivotField axis="axisCol" subtotalTop="0" showAll="0" defaultSubtotal="0">
      <items count="2">
        <item x="1"/>
        <item x="0"/>
      </items>
    </pivotField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0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2">
    <field x="-2"/>
    <field x="1"/>
  </colFields>
  <colItems count="14">
    <i>
      <x/>
      <x/>
    </i>
    <i r="1">
      <x v="1"/>
    </i>
    <i i="1">
      <x v="1"/>
      <x/>
    </i>
    <i r="1" i="1">
      <x v="1"/>
    </i>
    <i i="2">
      <x v="2"/>
      <x/>
    </i>
    <i r="1" i="2">
      <x v="1"/>
    </i>
    <i i="3">
      <x v="3"/>
      <x/>
    </i>
    <i r="1" i="3">
      <x v="1"/>
    </i>
    <i i="4">
      <x v="4"/>
      <x/>
    </i>
    <i r="1" i="4">
      <x v="1"/>
    </i>
    <i i="5">
      <x v="5"/>
      <x/>
    </i>
    <i r="1" i="5">
      <x v="1"/>
    </i>
    <i i="6">
      <x v="6"/>
      <x/>
    </i>
    <i r="1" i="6">
      <x v="1"/>
    </i>
  </colItems>
  <dataFields count="7">
    <dataField name="Driver" fld="2" baseField="0" baseItem="0" numFmtId="3"/>
    <dataField name="Passenger" fld="3" baseField="0" baseItem="0" numFmtId="3"/>
    <dataField name="Pedestrian" fld="4" baseField="0" baseItem="0" numFmtId="3"/>
    <dataField name="Bicyclist" fld="5" baseField="0" baseItem="0" numFmtId="3"/>
    <dataField name="Motorcyclist*" fld="6" baseField="0" baseItem="0" numFmtId="3"/>
    <dataField name="Other" fld="7" baseField="0" baseItem="0" numFmtId="3"/>
    <dataField name="Operator" fld="8" baseField="0" baseItem="0" numFmtId="3"/>
  </dataFields>
  <formats count="30">
    <format dxfId="205">
      <pivotArea type="all" dataOnly="0" outline="0" fieldPosition="0"/>
    </format>
    <format dxfId="204">
      <pivotArea outline="0" collapsedLevelsAreSubtotals="1" fieldPosition="0"/>
    </format>
    <format dxfId="203">
      <pivotArea type="origin" dataOnly="0" labelOnly="1" outline="0" fieldPosition="0"/>
    </format>
    <format dxfId="202">
      <pivotArea field="-2" type="button" dataOnly="0" labelOnly="1" outline="0" axis="axisCol" fieldPosition="0"/>
    </format>
    <format dxfId="201">
      <pivotArea type="topRight" dataOnly="0" labelOnly="1" outline="0" fieldPosition="0"/>
    </format>
    <format dxfId="200">
      <pivotArea type="all" dataOnly="0" outline="0" fieldPosition="0"/>
    </format>
    <format dxfId="199">
      <pivotArea outline="0" collapsedLevelsAreSubtotals="1" fieldPosition="0"/>
    </format>
    <format dxfId="198">
      <pivotArea type="origin" dataOnly="0" labelOnly="1" outline="0" fieldPosition="0"/>
    </format>
    <format dxfId="197">
      <pivotArea field="-2" type="button" dataOnly="0" labelOnly="1" outline="0" axis="axisCol" fieldPosition="0"/>
    </format>
    <format dxfId="196">
      <pivotArea type="topRight" dataOnly="0" labelOnly="1" outline="0" fieldPosition="0"/>
    </format>
    <format dxfId="195">
      <pivotArea dataOnly="0" labelOnly="1" grandRow="1" outline="0" fieldPosition="0"/>
    </format>
    <format dxfId="194">
      <pivotArea outline="0" collapsedLevelsAreSubtotals="1" fieldPosition="0"/>
    </format>
    <format dxfId="193">
      <pivotArea field="0" type="button" dataOnly="0" labelOnly="1" outline="0" axis="axisRow" fieldPosition="0"/>
    </format>
    <format dxfId="192">
      <pivotArea grandRow="1" outline="0" collapsedLevelsAreSubtotals="1" fieldPosition="0"/>
    </format>
    <format dxfId="191">
      <pivotArea outline="0" fieldPosition="0">
        <references count="1">
          <reference field="4294967294" count="1">
            <x v="0"/>
          </reference>
        </references>
      </pivotArea>
    </format>
    <format dxfId="190">
      <pivotArea outline="0" fieldPosition="0">
        <references count="1">
          <reference field="4294967294" count="1">
            <x v="1"/>
          </reference>
        </references>
      </pivotArea>
    </format>
    <format dxfId="189">
      <pivotArea outline="0" fieldPosition="0">
        <references count="1">
          <reference field="4294967294" count="1">
            <x v="2"/>
          </reference>
        </references>
      </pivotArea>
    </format>
    <format dxfId="188">
      <pivotArea outline="0" fieldPosition="0">
        <references count="1">
          <reference field="4294967294" count="1">
            <x v="3"/>
          </reference>
        </references>
      </pivotArea>
    </format>
    <format dxfId="187">
      <pivotArea outline="0" fieldPosition="0">
        <references count="1">
          <reference field="4294967294" count="1">
            <x v="4"/>
          </reference>
        </references>
      </pivotArea>
    </format>
    <format dxfId="186">
      <pivotArea outline="0" fieldPosition="0">
        <references count="1">
          <reference field="4294967294" count="1">
            <x v="5"/>
          </reference>
        </references>
      </pivotArea>
    </format>
    <format dxfId="185">
      <pivotArea outline="0" fieldPosition="0">
        <references count="1">
          <reference field="4294967294" count="1">
            <x v="6"/>
          </reference>
        </references>
      </pivotArea>
    </format>
    <format dxfId="184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83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82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181">
      <pivotArea dataOnly="0" labelOnly="1" fieldPosition="0">
        <references count="2">
          <reference field="4294967294" count="1" selected="0">
            <x v="1"/>
          </reference>
          <reference field="1" count="0"/>
        </references>
      </pivotArea>
    </format>
    <format dxfId="180">
      <pivotArea dataOnly="0" labelOnly="1" fieldPosition="0">
        <references count="2">
          <reference field="4294967294" count="1" selected="0">
            <x v="2"/>
          </reference>
          <reference field="1" count="0"/>
        </references>
      </pivotArea>
    </format>
    <format dxfId="179">
      <pivotArea dataOnly="0" labelOnly="1" fieldPosition="0">
        <references count="2">
          <reference field="4294967294" count="1" selected="0">
            <x v="3"/>
          </reference>
          <reference field="1" count="0"/>
        </references>
      </pivotArea>
    </format>
    <format dxfId="178">
      <pivotArea dataOnly="0" labelOnly="1" fieldPosition="0">
        <references count="2">
          <reference field="4294967294" count="1" selected="0">
            <x v="4"/>
          </reference>
          <reference field="1" count="0"/>
        </references>
      </pivotArea>
    </format>
    <format dxfId="177">
      <pivotArea dataOnly="0" labelOnly="1" fieldPosition="0">
        <references count="2">
          <reference field="4294967294" count="1" selected="0">
            <x v="5"/>
          </reference>
          <reference field="1" count="0"/>
        </references>
      </pivotArea>
    </format>
    <format dxfId="176">
      <pivotArea dataOnly="0" labelOnly="1" fieldPosition="0">
        <references count="2">
          <reference field="4294967294" count="1" selected="0">
            <x v="6"/>
          </reference>
          <reference field="1" count="0"/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DBD833-B081-4DD0-B05A-97CB15E5E983}" name="PivotTable5" cacheId="68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 chartFormat="3" rowHeaderCaption="DAY OF WEEK" fieldListSortAscending="1">
  <location ref="A112:B120" firstHeaderRow="1" firstDataRow="1" firstDataCol="1"/>
  <pivotFields count="2">
    <pivotField axis="axisRow" showAll="0">
      <items count="8">
        <item x="4"/>
        <item x="2"/>
        <item x="6"/>
        <item x="1"/>
        <item x="3"/>
        <item x="5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 of Count" fld="1" baseField="0" baseItem="0" numFmtId="3"/>
  </dataFields>
  <chartFormats count="2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Yanyong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086723-0FB6-4E35-8CFE-45B339847883}" name="PivotTable2" cacheId="7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outline="1" outlineData="1" multipleFieldFilters="0" colHeaderCaption=" " fieldListSortAscending="1">
  <location ref="A45:P49" firstHeaderRow="1" firstDataRow="4" firstDataCol="1"/>
  <pivotFields count="4">
    <pivotField axis="axisCol" showAll="0" defaultSubtotal="0">
      <items count="2">
        <item x="0"/>
        <item x="1"/>
      </items>
    </pivotField>
    <pivotField axis="axisCol" showAll="0" defaultSubtotal="0">
      <items count="4">
        <item x="1"/>
        <item x="0"/>
        <item x="2"/>
        <item x="3"/>
      </items>
    </pivotField>
    <pivotField axis="axisCol" showAll="0" defaultSubtotal="0">
      <items count="2">
        <item x="0"/>
        <item x="1"/>
      </items>
    </pivotField>
    <pivotField dataField="1" showAll="0" defaultSubtotal="0"/>
  </pivotFields>
  <rowItems count="1">
    <i/>
  </rowItems>
  <colFields count="3">
    <field x="0"/>
    <field x="2"/>
    <field x="1"/>
  </colFields>
  <colItems count="15">
    <i>
      <x/>
      <x/>
      <x/>
    </i>
    <i r="2">
      <x v="1"/>
    </i>
    <i r="2">
      <x v="2"/>
    </i>
    <i r="2">
      <x v="3"/>
    </i>
    <i r="1">
      <x v="1"/>
      <x/>
    </i>
    <i r="2">
      <x v="1"/>
    </i>
    <i r="2">
      <x v="2"/>
    </i>
    <i r="2">
      <x v="3"/>
    </i>
    <i>
      <x v="1"/>
      <x/>
      <x/>
    </i>
    <i r="2">
      <x v="1"/>
    </i>
    <i r="2">
      <x v="3"/>
    </i>
    <i r="1">
      <x v="1"/>
      <x/>
    </i>
    <i r="2">
      <x v="1"/>
    </i>
    <i r="2">
      <x v="2"/>
    </i>
    <i r="2">
      <x v="3"/>
    </i>
  </colItems>
  <dataFields count="1">
    <dataField name="    " fld="3" baseField="1" baseItem="1" numFmtId="3"/>
  </dataFields>
  <formats count="19">
    <format dxfId="18">
      <pivotArea type="all" dataOnly="0" outline="0" fieldPosition="0"/>
    </format>
    <format dxfId="17">
      <pivotArea outline="0" collapsedLevelsAreSubtotals="1" fieldPosition="0"/>
    </format>
    <format dxfId="16">
      <pivotArea type="origin" dataOnly="0" labelOnly="1" outline="0" fieldPosition="0"/>
    </format>
    <format dxfId="15">
      <pivotArea dataOnly="0" labelOnly="1" outline="0" axis="axisValues" fieldPosition="0"/>
    </format>
    <format dxfId="14">
      <pivotArea field="0" type="button" dataOnly="0" labelOnly="1" outline="0" axis="axisCol" fieldPosition="0"/>
    </format>
    <format dxfId="13">
      <pivotArea field="2" type="button" dataOnly="0" labelOnly="1" outline="0" axis="axisCol" fieldPosition="1"/>
    </format>
    <format dxfId="12">
      <pivotArea field="1" type="button" dataOnly="0" labelOnly="1" outline="0" axis="axisCol" fieldPosition="2"/>
    </format>
    <format dxfId="11">
      <pivotArea type="topRight" dataOnly="0" labelOnly="1" outline="0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type="origin" dataOnly="0" labelOnly="1" outline="0" fieldPosition="0"/>
    </format>
    <format dxfId="7">
      <pivotArea dataOnly="0" labelOnly="1" outline="0" axis="axisValues" fieldPosition="0"/>
    </format>
    <format dxfId="6">
      <pivotArea field="0" type="button" dataOnly="0" labelOnly="1" outline="0" axis="axisCol" fieldPosition="0"/>
    </format>
    <format dxfId="5">
      <pivotArea field="2" type="button" dataOnly="0" labelOnly="1" outline="0" axis="axisCol" fieldPosition="1"/>
    </format>
    <format dxfId="4">
      <pivotArea field="1" type="button" dataOnly="0" labelOnly="1" outline="0" axis="axisCol" fieldPosition="2"/>
    </format>
    <format dxfId="3">
      <pivotArea type="topRight" dataOnly="0" labelOnly="1" outline="0" fieldPosition="0"/>
    </format>
    <format dxfId="2">
      <pivotArea outline="0" fieldPosition="0">
        <references count="1">
          <reference field="4294967294" count="1">
            <x v="0"/>
          </reference>
        </references>
      </pivotArea>
    </format>
    <format dxfId="1">
      <pivotArea type="all" dataOnly="0" outline="0" fieldPosition="0"/>
    </format>
    <format dxfId="0">
      <pivotArea type="all" dataOnly="0" outline="0" fieldPosition="0"/>
    </format>
  </formats>
  <pivotTableStyleInfo name="ADA 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39876B-1A7F-4649-8139-392084C20EFD}" name="PivotTable6" cacheId="62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 colHeaderCaption="AGE" fieldListSortAscending="1">
  <location ref="A67:O69" firstHeaderRow="1" firstDataRow="2" firstDataCol="1"/>
  <pivotFields count="2">
    <pivotField axis="axisCol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dataField="1" showAll="0"/>
  </pivotFields>
  <rowItems count="1">
    <i/>
  </rowItems>
  <colFields count="1">
    <field x="0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Sum of Count" fld="1" baseField="0" baseItem="1"/>
  </dataFields>
  <formats count="19">
    <format dxfId="37">
      <pivotArea type="all" dataOnly="0" outline="0" fieldPosition="0"/>
    </format>
    <format dxfId="36">
      <pivotArea outline="0" collapsedLevelsAreSubtotals="1" fieldPosition="0"/>
    </format>
    <format dxfId="35">
      <pivotArea type="origin" dataOnly="0" labelOnly="1" outline="0" offset="A1" fieldPosition="0"/>
    </format>
    <format dxfId="34">
      <pivotArea dataOnly="0" labelOnly="1" outline="0" axis="axisValues" fieldPosition="0"/>
    </format>
    <format dxfId="33">
      <pivotArea field="0" type="button" dataOnly="0" labelOnly="1" outline="0" axis="axisCol" fieldPosition="0"/>
    </format>
    <format dxfId="32">
      <pivotArea type="topRight" dataOnly="0" labelOnly="1" outline="0" fieldPosition="0"/>
    </format>
    <format dxfId="31">
      <pivotArea type="origin" dataOnly="0" labelOnly="1" outline="0" offset="A2" fieldPosition="0"/>
    </format>
    <format dxfId="30">
      <pivotArea dataOnly="0" labelOnly="1" fieldPosition="0">
        <references count="1">
          <reference field="0" count="0"/>
        </references>
      </pivotArea>
    </format>
    <format dxfId="29">
      <pivotArea dataOnly="0" labelOnly="1" grandCol="1" outline="0" fieldPosition="0"/>
    </format>
    <format dxfId="28">
      <pivotArea outline="0" collapsedLevelsAreSubtotals="1" fieldPosition="0"/>
    </format>
    <format dxfId="27">
      <pivotArea type="all" dataOnly="0" outline="0" fieldPosition="0"/>
    </format>
    <format dxfId="26">
      <pivotArea type="all" dataOnly="0" outline="0" fieldPosition="0"/>
    </format>
    <format dxfId="25">
      <pivotArea dataOnly="0" labelOnly="1" fieldPosition="0">
        <references count="1">
          <reference field="0" count="0"/>
        </references>
      </pivotArea>
    </format>
    <format dxfId="24">
      <pivotArea dataOnly="0" labelOnly="1" grandCol="1" outline="0" fieldPosition="0"/>
    </format>
    <format dxfId="23">
      <pivotArea dataOnly="0" labelOnly="1" fieldPosition="0">
        <references count="1">
          <reference field="0" count="0"/>
        </references>
      </pivotArea>
    </format>
    <format dxfId="22">
      <pivotArea dataOnly="0" labelOnly="1" grandCol="1" outline="0" fieldPosition="0"/>
    </format>
    <format dxfId="21">
      <pivotArea dataOnly="0" labelOnly="1" fieldPosition="0">
        <references count="1">
          <reference field="0" count="0"/>
        </references>
      </pivotArea>
    </format>
    <format dxfId="20">
      <pivotArea dataOnly="0" labelOnly="1" grandCol="1" outline="0" fieldPosition="0"/>
    </format>
    <format dxfId="19">
      <pivotArea field="0" type="button" dataOnly="0" labelOnly="1" outline="0" axis="axisCol" fieldPosition="0"/>
    </format>
  </formats>
  <pivotTableStyleInfo name="ADA 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85F154-7D76-4580-83BA-CA03CC16CD8F}" name="PivotTable8" cacheId="60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 colHeaderCaption="AGE" fieldListSortAscending="1">
  <location ref="A87:O89" firstHeaderRow="1" firstDataRow="2" firstDataCol="1"/>
  <pivotFields count="2">
    <pivotField axis="axisCol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dataField="1" showAll="0"/>
  </pivotFields>
  <rowItems count="1">
    <i/>
  </rowItems>
  <colFields count="1">
    <field x="0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Sum of Count" fld="1" baseField="0" baseItem="1"/>
  </dataFields>
  <formats count="21">
    <format dxfId="58">
      <pivotArea type="all" dataOnly="0" outline="0" fieldPosition="0"/>
    </format>
    <format dxfId="57">
      <pivotArea outline="0" collapsedLevelsAreSubtotals="1" fieldPosition="0"/>
    </format>
    <format dxfId="56">
      <pivotArea type="origin" dataOnly="0" labelOnly="1" outline="0" offset="A1" fieldPosition="0"/>
    </format>
    <format dxfId="55">
      <pivotArea dataOnly="0" labelOnly="1" outline="0" axis="axisValues" fieldPosition="0"/>
    </format>
    <format dxfId="54">
      <pivotArea field="0" type="button" dataOnly="0" labelOnly="1" outline="0" axis="axisCol" fieldPosition="0"/>
    </format>
    <format dxfId="53">
      <pivotArea type="topRight" dataOnly="0" labelOnly="1" outline="0" fieldPosition="0"/>
    </format>
    <format dxfId="52">
      <pivotArea type="origin" dataOnly="0" labelOnly="1" outline="0" offset="A2" fieldPosition="0"/>
    </format>
    <format dxfId="51">
      <pivotArea dataOnly="0" labelOnly="1" fieldPosition="0">
        <references count="1">
          <reference field="0" count="0"/>
        </references>
      </pivotArea>
    </format>
    <format dxfId="50">
      <pivotArea dataOnly="0" labelOnly="1" grandCol="1" outline="0" fieldPosition="0"/>
    </format>
    <format dxfId="49">
      <pivotArea outline="0" collapsedLevelsAreSubtotals="1" fieldPosition="0"/>
    </format>
    <format dxfId="48">
      <pivotArea type="all" dataOnly="0" outline="0" fieldPosition="0"/>
    </format>
    <format dxfId="47">
      <pivotArea type="all" dataOnly="0" outline="0" fieldPosition="0"/>
    </format>
    <format dxfId="46">
      <pivotArea outline="0" collapsedLevelsAreSubtotals="1" fieldPosition="0">
        <references count="1">
          <reference field="0" count="12" selected="0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45">
      <pivotArea grandCol="1" outline="0" collapsedLevelsAreSubtotals="1" fieldPosition="0"/>
    </format>
    <format dxfId="44">
      <pivotArea dataOnly="0" labelOnly="1" fieldPosition="0">
        <references count="1">
          <reference field="0" count="1">
            <x v="11"/>
          </reference>
        </references>
      </pivotArea>
    </format>
    <format dxfId="43">
      <pivotArea dataOnly="0" labelOnly="1" fieldPosition="0">
        <references count="1">
          <reference field="0" count="1">
            <x v="12"/>
          </reference>
        </references>
      </pivotArea>
    </format>
    <format dxfId="42">
      <pivotArea dataOnly="0" labelOnly="1" fieldPosition="0">
        <references count="1">
          <reference field="0" count="0"/>
        </references>
      </pivotArea>
    </format>
    <format dxfId="41">
      <pivotArea dataOnly="0" labelOnly="1" grandCol="1" outline="0" fieldPosition="0"/>
    </format>
    <format dxfId="40">
      <pivotArea dataOnly="0" labelOnly="1" fieldPosition="0">
        <references count="1">
          <reference field="0" count="0"/>
        </references>
      </pivotArea>
    </format>
    <format dxfId="39">
      <pivotArea dataOnly="0" labelOnly="1" grandCol="1" outline="0" fieldPosition="0"/>
    </format>
    <format dxfId="38">
      <pivotArea field="0" type="button" dataOnly="0" labelOnly="1" outline="0" axis="axisCol" fieldPosition="0"/>
    </format>
  </formats>
  <pivotTableStyleInfo name="ADA 1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2F6EA47-1D86-40C5-8DC1-847FC1FB8DA4}" name="PivotTable7" cacheId="61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mergeItem="1" createdVersion="6" indent="0" outline="1" outlineData="1" multipleFieldFilters="0" rowHeaderCaption="DEGREE OF ALCOHOL IMPAIRMENT" colHeaderCaption="AGE" fieldListSortAscending="1">
  <location ref="A77:O82" firstHeaderRow="1" firstDataRow="2" firstDataCol="1"/>
  <pivotFields count="3">
    <pivotField axis="axisRow" subtotalTop="0" showAll="0" defaultSubtotal="0">
      <items count="3">
        <item x="0"/>
        <item x="2"/>
        <item x="1"/>
      </items>
    </pivotField>
    <pivotField axis="axisCol" subtotalTop="0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dataField="1" subtotalTop="0" showAll="0" defaultSubtota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1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 " fld="2" baseField="2" baseItem="0" numFmtId="3"/>
  </dataFields>
  <formats count="24">
    <format dxfId="82">
      <pivotArea type="all" dataOnly="0" outline="0" fieldPosition="0"/>
    </format>
    <format dxfId="81">
      <pivotArea outline="0" collapsedLevelsAreSubtotals="1" fieldPosition="0"/>
    </format>
    <format dxfId="80">
      <pivotArea type="origin" dataOnly="0" labelOnly="1" outline="0" fieldPosition="0"/>
    </format>
    <format dxfId="79">
      <pivotArea type="topRight" dataOnly="0" labelOnly="1" outline="0" fieldPosition="0"/>
    </format>
    <format dxfId="78">
      <pivotArea dataOnly="0" labelOnly="1" grandRow="1" outline="0" fieldPosition="0"/>
    </format>
    <format dxfId="77">
      <pivotArea dataOnly="0" labelOnly="1" grandCol="1" outline="0" fieldPosition="0"/>
    </format>
    <format dxfId="76">
      <pivotArea type="all" dataOnly="0" outline="0" fieldPosition="0"/>
    </format>
    <format dxfId="75">
      <pivotArea outline="0" collapsedLevelsAreSubtotals="1" fieldPosition="0"/>
    </format>
    <format dxfId="74">
      <pivotArea type="origin" dataOnly="0" labelOnly="1" outline="0" fieldPosition="0"/>
    </format>
    <format dxfId="73">
      <pivotArea type="topRight" dataOnly="0" labelOnly="1" outline="0" fieldPosition="0"/>
    </format>
    <format dxfId="72">
      <pivotArea dataOnly="0" labelOnly="1" grandRow="1" outline="0" fieldPosition="0"/>
    </format>
    <format dxfId="71">
      <pivotArea dataOnly="0" labelOnly="1" grandCol="1" outline="0" fieldPosition="0"/>
    </format>
    <format dxfId="70">
      <pivotArea dataOnly="0" labelOnly="1" grandRow="1" outline="0" fieldPosition="0"/>
    </format>
    <format dxfId="69">
      <pivotArea type="all" dataOnly="0" outline="0" fieldPosition="0"/>
    </format>
    <format dxfId="68">
      <pivotArea outline="0" collapsedLevelsAreSubtotals="1" fieldPosition="0"/>
    </format>
    <format dxfId="67">
      <pivotArea type="origin" dataOnly="0" labelOnly="1" outline="0" fieldPosition="0"/>
    </format>
    <format dxfId="66">
      <pivotArea type="topRight" dataOnly="0" labelOnly="1" outline="0" fieldPosition="0"/>
    </format>
    <format dxfId="65">
      <pivotArea dataOnly="0" labelOnly="1" grandRow="1" outline="0" fieldPosition="0"/>
    </format>
    <format dxfId="64">
      <pivotArea dataOnly="0" labelOnly="1" grandCol="1" outline="0" fieldPosition="0"/>
    </format>
    <format dxfId="63">
      <pivotArea field="0" type="button" dataOnly="0" labelOnly="1" outline="0" axis="axisRow" fieldPosition="0"/>
    </format>
    <format dxfId="62">
      <pivotArea dataOnly="0" labelOnly="1" fieldPosition="0">
        <references count="1">
          <reference field="1" count="0"/>
        </references>
      </pivotArea>
    </format>
    <format dxfId="61">
      <pivotArea dataOnly="0" labelOnly="1" grandCol="1" outline="0" fieldPosition="0"/>
    </format>
    <format dxfId="60">
      <pivotArea type="all" dataOnly="0" outline="0" fieldPosition="0"/>
    </format>
    <format dxfId="59">
      <pivotArea type="all" dataOnly="0" outline="0" fieldPosition="0"/>
    </format>
  </formats>
  <pivotTableStyleInfo name="ADA 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18EB01-9467-4B25-B55B-FCADE8B0A92F}" name="PivotTable3" cacheId="78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mergeItem="1" createdVersion="6" indent="0" outline="1" outlineData="1" multipleFieldFilters="0" rowHeaderCaption="DEGREE OF ALCOHOL IMPAIRMENT" colHeaderCaption="AGE" fieldListSortAscending="1">
  <location ref="A57:O62" firstHeaderRow="1" firstDataRow="2" firstDataCol="1"/>
  <pivotFields count="3">
    <pivotField axis="axisRow" subtotalTop="0" showAll="0" defaultSubtotal="0">
      <items count="3">
        <item x="0"/>
        <item x="2"/>
        <item x="1"/>
      </items>
    </pivotField>
    <pivotField axis="axisCol" subtotalTop="0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dataField="1" subtotalTop="0" showAll="0" defaultSubtota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1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 " fld="2" baseField="2" baseItem="0" numFmtId="3"/>
  </dataFields>
  <formats count="24">
    <format dxfId="106">
      <pivotArea type="all" dataOnly="0" outline="0" fieldPosition="0"/>
    </format>
    <format dxfId="105">
      <pivotArea outline="0" collapsedLevelsAreSubtotals="1" fieldPosition="0"/>
    </format>
    <format dxfId="104">
      <pivotArea type="origin" dataOnly="0" labelOnly="1" outline="0" fieldPosition="0"/>
    </format>
    <format dxfId="103">
      <pivotArea type="topRight" dataOnly="0" labelOnly="1" outline="0" fieldPosition="0"/>
    </format>
    <format dxfId="102">
      <pivotArea dataOnly="0" labelOnly="1" grandRow="1" outline="0" fieldPosition="0"/>
    </format>
    <format dxfId="101">
      <pivotArea dataOnly="0" labelOnly="1" grandCol="1" outline="0" fieldPosition="0"/>
    </format>
    <format dxfId="100">
      <pivotArea type="all" dataOnly="0" outline="0" fieldPosition="0"/>
    </format>
    <format dxfId="99">
      <pivotArea outline="0" collapsedLevelsAreSubtotals="1" fieldPosition="0"/>
    </format>
    <format dxfId="98">
      <pivotArea type="origin" dataOnly="0" labelOnly="1" outline="0" fieldPosition="0"/>
    </format>
    <format dxfId="97">
      <pivotArea type="topRight" dataOnly="0" labelOnly="1" outline="0" fieldPosition="0"/>
    </format>
    <format dxfId="96">
      <pivotArea dataOnly="0" labelOnly="1" grandRow="1" outline="0" fieldPosition="0"/>
    </format>
    <format dxfId="95">
      <pivotArea dataOnly="0" labelOnly="1" grandCol="1" outline="0" fieldPosition="0"/>
    </format>
    <format dxfId="94">
      <pivotArea dataOnly="0" labelOnly="1" grandRow="1" outline="0" fieldPosition="0"/>
    </format>
    <format dxfId="93">
      <pivotArea type="all" dataOnly="0" outline="0" fieldPosition="0"/>
    </format>
    <format dxfId="92">
      <pivotArea outline="0" collapsedLevelsAreSubtotals="1" fieldPosition="0"/>
    </format>
    <format dxfId="91">
      <pivotArea type="origin" dataOnly="0" labelOnly="1" outline="0" fieldPosition="0"/>
    </format>
    <format dxfId="90">
      <pivotArea type="topRight" dataOnly="0" labelOnly="1" outline="0" fieldPosition="0"/>
    </format>
    <format dxfId="89">
      <pivotArea dataOnly="0" labelOnly="1" grandRow="1" outline="0" fieldPosition="0"/>
    </format>
    <format dxfId="88">
      <pivotArea dataOnly="0" labelOnly="1" grandCol="1" outline="0" fieldPosition="0"/>
    </format>
    <format dxfId="87">
      <pivotArea field="0" type="button" dataOnly="0" labelOnly="1" outline="0" axis="axisRow" fieldPosition="0"/>
    </format>
    <format dxfId="86">
      <pivotArea dataOnly="0" labelOnly="1" fieldPosition="0">
        <references count="1">
          <reference field="1" count="0"/>
        </references>
      </pivotArea>
    </format>
    <format dxfId="85">
      <pivotArea dataOnly="0" labelOnly="1" grandCol="1" outline="0" fieldPosition="0"/>
    </format>
    <format dxfId="84">
      <pivotArea type="all" dataOnly="0" outline="0" fieldPosition="0"/>
    </format>
    <format dxfId="83">
      <pivotArea type="all" dataOnly="0" outline="0" fieldPosition="0"/>
    </format>
  </formats>
  <pivotTableStyleInfo name="ADA 1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9D0477-C583-4C28-8227-4D774F0049F4}" name="PivotTable1" cacheId="70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mergeItem="1" createdVersion="6" indent="0" outline="1" outlineData="1" multipleFieldFilters="0" rowHeaderCaption="DEGREE OF ALCOHOL IMPAIRMENT" colHeaderCaption=" " fieldListSortAscending="1">
  <location ref="A33:O40" firstHeaderRow="1" firstDataRow="4" firstDataCol="1"/>
  <pivotFields count="5">
    <pivotField axis="axisCol" showAll="0" defaultSubtotal="0">
      <items count="2">
        <item x="0"/>
        <item x="1"/>
      </items>
    </pivotField>
    <pivotField axis="axisCol" subtotalTop="0" showAll="0" defaultSubtotal="0">
      <items count="2">
        <item x="1"/>
        <item x="0"/>
      </items>
    </pivotField>
    <pivotField axis="axisRow" subtotalTop="0" showAll="0" defaultSubtotal="0">
      <items count="3">
        <item x="0"/>
        <item x="2"/>
        <item x="1"/>
      </items>
    </pivotField>
    <pivotField axis="axisCol" subtotalTop="0" showAll="0" defaultSubtotal="0">
      <items count="4">
        <item x="2"/>
        <item x="0"/>
        <item x="3"/>
        <item x="1"/>
      </items>
    </pivotField>
    <pivotField dataField="1" subtotalTop="0" showAll="0" defaultSubtotal="0"/>
  </pivotFields>
  <rowFields count="1">
    <field x="2"/>
  </rowFields>
  <rowItems count="4">
    <i>
      <x/>
    </i>
    <i>
      <x v="1"/>
    </i>
    <i>
      <x v="2"/>
    </i>
    <i t="grand">
      <x/>
    </i>
  </rowItems>
  <colFields count="3">
    <field x="1"/>
    <field x="0"/>
    <field x="3"/>
  </colFields>
  <colItems count="14">
    <i>
      <x/>
      <x/>
      <x/>
    </i>
    <i r="2">
      <x v="1"/>
    </i>
    <i r="2">
      <x v="3"/>
    </i>
    <i r="1">
      <x v="1"/>
      <x/>
    </i>
    <i r="2">
      <x v="1"/>
    </i>
    <i r="2">
      <x v="2"/>
    </i>
    <i r="2">
      <x v="3"/>
    </i>
    <i>
      <x v="1"/>
      <x/>
      <x/>
    </i>
    <i r="2">
      <x v="1"/>
    </i>
    <i r="2">
      <x v="3"/>
    </i>
    <i r="1">
      <x v="1"/>
      <x/>
    </i>
    <i r="2">
      <x v="1"/>
    </i>
    <i r="2">
      <x v="3"/>
    </i>
    <i t="grand">
      <x/>
    </i>
  </colItems>
  <dataFields count="1">
    <dataField name=" " fld="4" baseField="2" baseItem="0" numFmtId="3"/>
  </dataFields>
  <formats count="69">
    <format dxfId="175">
      <pivotArea type="all" dataOnly="0" outline="0" fieldPosition="0"/>
    </format>
    <format dxfId="174">
      <pivotArea outline="0" collapsedLevelsAreSubtotals="1" fieldPosition="0"/>
    </format>
    <format dxfId="173">
      <pivotArea type="origin" dataOnly="0" labelOnly="1" outline="0" fieldPosition="0"/>
    </format>
    <format dxfId="172">
      <pivotArea field="1" type="button" dataOnly="0" labelOnly="1" outline="0" axis="axisCol" fieldPosition="0"/>
    </format>
    <format dxfId="171">
      <pivotArea field="0" type="button" dataOnly="0" labelOnly="1" outline="0" axis="axisCol" fieldPosition="1"/>
    </format>
    <format dxfId="170">
      <pivotArea field="3" type="button" dataOnly="0" labelOnly="1" outline="0" axis="axisCol" fieldPosition="2"/>
    </format>
    <format dxfId="169">
      <pivotArea type="topRight" dataOnly="0" labelOnly="1" outline="0" fieldPosition="0"/>
    </format>
    <format dxfId="168">
      <pivotArea field="2" type="button" dataOnly="0" labelOnly="1" outline="0" axis="axisRow" fieldPosition="0"/>
    </format>
    <format dxfId="167">
      <pivotArea dataOnly="0" labelOnly="1" fieldPosition="0">
        <references count="1">
          <reference field="2" count="0"/>
        </references>
      </pivotArea>
    </format>
    <format dxfId="166">
      <pivotArea dataOnly="0" labelOnly="1" grandRow="1" outline="0" fieldPosition="0"/>
    </format>
    <format dxfId="165">
      <pivotArea dataOnly="0" labelOnly="1" fieldPosition="0">
        <references count="1">
          <reference field="1" count="0"/>
        </references>
      </pivotArea>
    </format>
    <format dxfId="164">
      <pivotArea dataOnly="0" labelOnly="1" grandCol="1" outline="0" fieldPosition="0"/>
    </format>
    <format dxfId="163">
      <pivotArea dataOnly="0" labelOnly="1" fieldPosition="0">
        <references count="2">
          <reference field="0" count="0"/>
          <reference field="1" count="1" selected="0">
            <x v="0"/>
          </reference>
        </references>
      </pivotArea>
    </format>
    <format dxfId="162">
      <pivotArea dataOnly="0" labelOnly="1" fieldPosition="0">
        <references count="2">
          <reference field="0" count="0"/>
          <reference field="1" count="1" selected="0">
            <x v="1"/>
          </reference>
        </references>
      </pivotArea>
    </format>
    <format dxfId="161">
      <pivotArea dataOnly="0" labelOnly="1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3" count="3">
            <x v="0"/>
            <x v="1"/>
            <x v="3"/>
          </reference>
        </references>
      </pivotArea>
    </format>
    <format dxfId="160">
      <pivotArea dataOnly="0" labelOnly="1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3" count="0"/>
        </references>
      </pivotArea>
    </format>
    <format dxfId="159">
      <pivotArea dataOnly="0" labelOnly="1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3" count="3">
            <x v="0"/>
            <x v="1"/>
            <x v="3"/>
          </reference>
        </references>
      </pivotArea>
    </format>
    <format dxfId="158">
      <pivotArea dataOnly="0" labelOnly="1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3" count="3">
            <x v="0"/>
            <x v="1"/>
            <x v="3"/>
          </reference>
        </references>
      </pivotArea>
    </format>
    <format dxfId="157">
      <pivotArea type="all" dataOnly="0" outline="0" fieldPosition="0"/>
    </format>
    <format dxfId="156">
      <pivotArea outline="0" collapsedLevelsAreSubtotals="1" fieldPosition="0"/>
    </format>
    <format dxfId="155">
      <pivotArea type="origin" dataOnly="0" labelOnly="1" outline="0" fieldPosition="0"/>
    </format>
    <format dxfId="154">
      <pivotArea field="1" type="button" dataOnly="0" labelOnly="1" outline="0" axis="axisCol" fieldPosition="0"/>
    </format>
    <format dxfId="153">
      <pivotArea field="0" type="button" dataOnly="0" labelOnly="1" outline="0" axis="axisCol" fieldPosition="1"/>
    </format>
    <format dxfId="152">
      <pivotArea field="3" type="button" dataOnly="0" labelOnly="1" outline="0" axis="axisCol" fieldPosition="2"/>
    </format>
    <format dxfId="151">
      <pivotArea type="topRight" dataOnly="0" labelOnly="1" outline="0" fieldPosition="0"/>
    </format>
    <format dxfId="150">
      <pivotArea field="2" type="button" dataOnly="0" labelOnly="1" outline="0" axis="axisRow" fieldPosition="0"/>
    </format>
    <format dxfId="149">
      <pivotArea dataOnly="0" labelOnly="1" fieldPosition="0">
        <references count="1">
          <reference field="2" count="0"/>
        </references>
      </pivotArea>
    </format>
    <format dxfId="148">
      <pivotArea dataOnly="0" labelOnly="1" grandRow="1" outline="0" fieldPosition="0"/>
    </format>
    <format dxfId="147">
      <pivotArea dataOnly="0" labelOnly="1" fieldPosition="0">
        <references count="1">
          <reference field="1" count="0"/>
        </references>
      </pivotArea>
    </format>
    <format dxfId="146">
      <pivotArea dataOnly="0" labelOnly="1" grandCol="1" outline="0" fieldPosition="0"/>
    </format>
    <format dxfId="145">
      <pivotArea dataOnly="0" labelOnly="1" fieldPosition="0">
        <references count="2">
          <reference field="0" count="0"/>
          <reference field="1" count="1" selected="0">
            <x v="0"/>
          </reference>
        </references>
      </pivotArea>
    </format>
    <format dxfId="144">
      <pivotArea dataOnly="0" labelOnly="1" fieldPosition="0">
        <references count="2">
          <reference field="0" count="0"/>
          <reference field="1" count="1" selected="0">
            <x v="1"/>
          </reference>
        </references>
      </pivotArea>
    </format>
    <format dxfId="143">
      <pivotArea dataOnly="0" labelOnly="1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3" count="3">
            <x v="0"/>
            <x v="1"/>
            <x v="3"/>
          </reference>
        </references>
      </pivotArea>
    </format>
    <format dxfId="142">
      <pivotArea dataOnly="0" labelOnly="1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3" count="0"/>
        </references>
      </pivotArea>
    </format>
    <format dxfId="141">
      <pivotArea dataOnly="0" labelOnly="1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3" count="3">
            <x v="0"/>
            <x v="1"/>
            <x v="3"/>
          </reference>
        </references>
      </pivotArea>
    </format>
    <format dxfId="140">
      <pivotArea dataOnly="0" labelOnly="1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3" count="3">
            <x v="0"/>
            <x v="1"/>
            <x v="3"/>
          </reference>
        </references>
      </pivotArea>
    </format>
    <format dxfId="139">
      <pivotArea dataOnly="0" labelOnly="1" grandRow="1" outline="0" fieldPosition="0"/>
    </format>
    <format dxfId="138">
      <pivotArea field="2" type="button" dataOnly="0" labelOnly="1" outline="0" axis="axisRow" fieldPosition="0"/>
    </format>
    <format dxfId="137">
      <pivotArea type="all" dataOnly="0" outline="0" fieldPosition="0"/>
    </format>
    <format dxfId="136">
      <pivotArea outline="0" collapsedLevelsAreSubtotals="1" fieldPosition="0"/>
    </format>
    <format dxfId="135">
      <pivotArea type="origin" dataOnly="0" labelOnly="1" outline="0" fieldPosition="0"/>
    </format>
    <format dxfId="134">
      <pivotArea field="1" type="button" dataOnly="0" labelOnly="1" outline="0" axis="axisCol" fieldPosition="0"/>
    </format>
    <format dxfId="133">
      <pivotArea field="0" type="button" dataOnly="0" labelOnly="1" outline="0" axis="axisCol" fieldPosition="1"/>
    </format>
    <format dxfId="132">
      <pivotArea field="3" type="button" dataOnly="0" labelOnly="1" outline="0" axis="axisCol" fieldPosition="2"/>
    </format>
    <format dxfId="131">
      <pivotArea type="topRight" dataOnly="0" labelOnly="1" outline="0" fieldPosition="0"/>
    </format>
    <format dxfId="130">
      <pivotArea field="2" type="button" dataOnly="0" labelOnly="1" outline="0" axis="axisRow" fieldPosition="0"/>
    </format>
    <format dxfId="129">
      <pivotArea dataOnly="0" labelOnly="1" fieldPosition="0">
        <references count="1">
          <reference field="2" count="0"/>
        </references>
      </pivotArea>
    </format>
    <format dxfId="128">
      <pivotArea dataOnly="0" labelOnly="1" grandRow="1" outline="0" fieldPosition="0"/>
    </format>
    <format dxfId="127">
      <pivotArea dataOnly="0" labelOnly="1" fieldPosition="0">
        <references count="1">
          <reference field="1" count="0"/>
        </references>
      </pivotArea>
    </format>
    <format dxfId="126">
      <pivotArea dataOnly="0" labelOnly="1" grandCol="1" outline="0" fieldPosition="0"/>
    </format>
    <format dxfId="125">
      <pivotArea dataOnly="0" labelOnly="1" fieldPosition="0">
        <references count="2">
          <reference field="0" count="0"/>
          <reference field="1" count="1" selected="0">
            <x v="0"/>
          </reference>
        </references>
      </pivotArea>
    </format>
    <format dxfId="124">
      <pivotArea dataOnly="0" labelOnly="1" fieldPosition="0">
        <references count="2">
          <reference field="0" count="0"/>
          <reference field="1" count="1" selected="0">
            <x v="1"/>
          </reference>
        </references>
      </pivotArea>
    </format>
    <format dxfId="123">
      <pivotArea dataOnly="0" labelOnly="1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3" count="3">
            <x v="0"/>
            <x v="1"/>
            <x v="3"/>
          </reference>
        </references>
      </pivotArea>
    </format>
    <format dxfId="122">
      <pivotArea dataOnly="0" labelOnly="1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3" count="0"/>
        </references>
      </pivotArea>
    </format>
    <format dxfId="121">
      <pivotArea dataOnly="0" labelOnly="1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3" count="3">
            <x v="0"/>
            <x v="1"/>
            <x v="3"/>
          </reference>
        </references>
      </pivotArea>
    </format>
    <format dxfId="120">
      <pivotArea dataOnly="0" labelOnly="1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3" count="3">
            <x v="0"/>
            <x v="1"/>
            <x v="3"/>
          </reference>
        </references>
      </pivotArea>
    </format>
    <format dxfId="119">
      <pivotArea dataOnly="0" labelOnly="1" fieldPosition="0">
        <references count="2">
          <reference field="0" count="1">
            <x v="0"/>
          </reference>
          <reference field="1" count="1" selected="0">
            <x v="0"/>
          </reference>
        </references>
      </pivotArea>
    </format>
    <format dxfId="118">
      <pivotArea dataOnly="0" labelOnly="1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3" count="3">
            <x v="0"/>
            <x v="1"/>
            <x v="3"/>
          </reference>
        </references>
      </pivotArea>
    </format>
    <format dxfId="117">
      <pivotArea dataOnly="0" labelOnly="1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3" count="0"/>
        </references>
      </pivotArea>
    </format>
    <format dxfId="116">
      <pivotArea dataOnly="0" labelOnly="1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3" count="3">
            <x v="0"/>
            <x v="1"/>
            <x v="3"/>
          </reference>
        </references>
      </pivotArea>
    </format>
    <format dxfId="115">
      <pivotArea dataOnly="0" labelOnly="1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3" count="3">
            <x v="0"/>
            <x v="1"/>
            <x v="3"/>
          </reference>
        </references>
      </pivotArea>
    </format>
    <format dxfId="114">
      <pivotArea dataOnly="0" labelOnly="1" fieldPosition="0">
        <references count="2">
          <reference field="0" count="1">
            <x v="0"/>
          </reference>
          <reference field="1" count="1" selected="0">
            <x v="1"/>
          </reference>
        </references>
      </pivotArea>
    </format>
    <format dxfId="113">
      <pivotArea dataOnly="0" labelOnly="1" fieldPosition="0">
        <references count="2">
          <reference field="0" count="1">
            <x v="1"/>
          </reference>
          <reference field="1" count="1" selected="0">
            <x v="0"/>
          </reference>
        </references>
      </pivotArea>
    </format>
    <format dxfId="112">
      <pivotArea dataOnly="0" labelOnly="1" fieldPosition="0">
        <references count="2">
          <reference field="0" count="1">
            <x v="1"/>
          </reference>
          <reference field="1" count="1" selected="0">
            <x v="1"/>
          </reference>
        </references>
      </pivotArea>
    </format>
    <format dxfId="111">
      <pivotArea dataOnly="0" labelOnly="1" fieldPosition="0">
        <references count="1">
          <reference field="1" count="1">
            <x v="1"/>
          </reference>
        </references>
      </pivotArea>
    </format>
    <format dxfId="110">
      <pivotArea dataOnly="0" labelOnly="1" grandCol="1" outline="0" fieldPosition="0"/>
    </format>
    <format dxfId="109">
      <pivotArea dataOnly="0" labelOnly="1" fieldPosition="0">
        <references count="1">
          <reference field="1" count="1">
            <x v="0"/>
          </reference>
        </references>
      </pivotArea>
    </format>
    <format dxfId="108">
      <pivotArea type="all" dataOnly="0" outline="0" fieldPosition="0"/>
    </format>
    <format dxfId="107">
      <pivotArea type="all" dataOnly="0" outline="0" fieldPosition="0"/>
    </format>
  </formats>
  <pivotTableStyleInfo name="ADA 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1709D5-12DA-480B-B7F0-D11197DB21B5}" name="PivotTable13" cacheId="59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 chartFormat="2" rowHeaderCaption="Day of Week" fieldListSortAscending="1">
  <location ref="A98:B106" firstHeaderRow="1" firstDataRow="1" firstDataCol="1"/>
  <pivotFields count="2">
    <pivotField axis="axisRow" showAll="0">
      <items count="8">
        <item x="4"/>
        <item x="6"/>
        <item x="3"/>
        <item x="5"/>
        <item x="1"/>
        <item x="0"/>
        <item x="2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 of Count" fld="1" baseField="0" baseItem="2" numFmtId="3"/>
  </dataFields>
  <chartFormats count="1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Yanyong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2918FB-A124-4254-8432-0DBF58385C5B}" name="Table1" displayName="Table1" ref="A1:A2" totalsRowShown="0">
  <autoFilter ref="A1:A2" xr:uid="{BF857604-D036-42C1-9C5F-8BE059F261E6}"/>
  <tableColumns count="1">
    <tableColumn id="1" xr3:uid="{B01C13D7-9002-4E62-AA7D-81A0922791DE}" name="Start_yea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38E8CE-50EC-46FA-B8E6-A398FE157109}" name="Table2" displayName="Table2" ref="B1:B2" totalsRowShown="0">
  <autoFilter ref="B1:B2" xr:uid="{18DB3712-88C6-49E7-A9C7-FF948AD578F3}"/>
  <tableColumns count="1">
    <tableColumn id="1" xr3:uid="{C0E5F747-366D-43BC-A626-DD560DFB54E0}" name="End_yea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325A6EE-3749-41A5-BD12-3DAFEFE58874}" name="Table3" displayName="Table3" ref="A4:A5" totalsRowShown="0">
  <autoFilter ref="A4:A5" xr:uid="{00EA1511-760A-4EC5-8244-14A37848CE1A}"/>
  <tableColumns count="1">
    <tableColumn id="1" xr3:uid="{4F5A0769-856C-4481-B976-0A44AA4B9884}" name="Crash_ye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9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0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1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ivotTable" Target="../pivotTables/pivotTable1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ivotTable" Target="../pivotTables/pivotTable13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ivotTable" Target="../pivotTables/pivotTable14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22.xml"/><Relationship Id="rId3" Type="http://schemas.openxmlformats.org/officeDocument/2006/relationships/pivotTable" Target="../pivotTables/pivotTable17.xml"/><Relationship Id="rId7" Type="http://schemas.openxmlformats.org/officeDocument/2006/relationships/pivotTable" Target="../pivotTables/pivotTable21.xml"/><Relationship Id="rId12" Type="http://schemas.openxmlformats.org/officeDocument/2006/relationships/table" Target="../tables/table3.xml"/><Relationship Id="rId2" Type="http://schemas.openxmlformats.org/officeDocument/2006/relationships/pivotTable" Target="../pivotTables/pivotTable16.xml"/><Relationship Id="rId1" Type="http://schemas.openxmlformats.org/officeDocument/2006/relationships/pivotTable" Target="../pivotTables/pivotTable15.xml"/><Relationship Id="rId6" Type="http://schemas.openxmlformats.org/officeDocument/2006/relationships/pivotTable" Target="../pivotTables/pivotTable20.xml"/><Relationship Id="rId11" Type="http://schemas.openxmlformats.org/officeDocument/2006/relationships/table" Target="../tables/table2.xml"/><Relationship Id="rId5" Type="http://schemas.openxmlformats.org/officeDocument/2006/relationships/pivotTable" Target="../pivotTables/pivotTable19.xml"/><Relationship Id="rId10" Type="http://schemas.openxmlformats.org/officeDocument/2006/relationships/table" Target="../tables/table1.xml"/><Relationship Id="rId4" Type="http://schemas.openxmlformats.org/officeDocument/2006/relationships/pivotTable" Target="../pivotTables/pivotTable18.xml"/><Relationship Id="rId9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FB8C2-37EA-4B08-818C-30609B3C4628}">
  <dimension ref="A1:T18"/>
  <sheetViews>
    <sheetView tabSelected="1" workbookViewId="0">
      <selection activeCell="A2" sqref="A2"/>
    </sheetView>
  </sheetViews>
  <sheetFormatPr defaultColWidth="9.1796875" defaultRowHeight="15" x14ac:dyDescent="0.3"/>
  <cols>
    <col min="1" max="1" width="12.1796875" style="1" bestFit="1" customWidth="1"/>
    <col min="2" max="2" width="9.1796875" style="1" bestFit="1" customWidth="1"/>
    <col min="3" max="3" width="8.453125" style="1" bestFit="1" customWidth="1"/>
    <col min="4" max="4" width="9.1796875" style="1" bestFit="1" customWidth="1"/>
    <col min="5" max="5" width="8.453125" style="1" bestFit="1" customWidth="1"/>
    <col min="6" max="6" width="9.1796875" style="1" bestFit="1" customWidth="1"/>
    <col min="7" max="7" width="8.453125" style="1" bestFit="1" customWidth="1"/>
    <col min="8" max="8" width="9.1796875" style="1" bestFit="1" customWidth="1"/>
    <col min="9" max="9" width="8.453125" style="1" bestFit="1" customWidth="1"/>
    <col min="10" max="10" width="9.1796875" style="1" bestFit="1" customWidth="1"/>
    <col min="11" max="11" width="8.453125" style="1" bestFit="1" customWidth="1"/>
    <col min="12" max="13" width="9.1796875" style="1" bestFit="1" customWidth="1"/>
    <col min="14" max="14" width="9.1796875" style="1"/>
    <col min="15" max="15" width="9.1796875" style="1" bestFit="1" customWidth="1"/>
    <col min="16" max="16" width="14" style="1" bestFit="1" customWidth="1"/>
    <col min="17" max="17" width="15.26953125" style="1" bestFit="1" customWidth="1"/>
    <col min="18" max="18" width="8.26953125" style="1" bestFit="1" customWidth="1"/>
    <col min="19" max="19" width="14" style="1" bestFit="1" customWidth="1"/>
    <col min="20" max="20" width="15.26953125" style="1" bestFit="1" customWidth="1"/>
    <col min="21" max="16384" width="9.1796875" style="1"/>
  </cols>
  <sheetData>
    <row r="1" spans="1:20" ht="17.5" x14ac:dyDescent="0.35">
      <c r="A1" s="2" t="str">
        <f>Parameters!$A$9</f>
        <v>TABLE 5A ALCOHOL INVOLVED FATAL AND INJURY CRASHES BY MONTH 2017-2021</v>
      </c>
    </row>
    <row r="3" spans="1:20" ht="15.5" x14ac:dyDescent="0.35">
      <c r="A3" s="59" t="s">
        <v>16</v>
      </c>
      <c r="B3" s="64" t="s">
        <v>16</v>
      </c>
      <c r="C3" s="60"/>
      <c r="D3" s="60"/>
      <c r="E3" s="60"/>
      <c r="F3" s="60"/>
      <c r="G3" s="60"/>
      <c r="H3" s="60"/>
      <c r="I3" s="60"/>
      <c r="J3" s="60"/>
      <c r="K3" s="60"/>
      <c r="L3"/>
      <c r="M3"/>
      <c r="N3"/>
      <c r="O3"/>
      <c r="P3"/>
      <c r="Q3"/>
      <c r="R3"/>
      <c r="S3"/>
      <c r="T3"/>
    </row>
    <row r="4" spans="1:20" ht="15.5" x14ac:dyDescent="0.35">
      <c r="A4" s="60"/>
      <c r="B4" s="72">
        <v>2017</v>
      </c>
      <c r="C4" s="72"/>
      <c r="D4" s="72">
        <v>2018</v>
      </c>
      <c r="E4" s="72"/>
      <c r="F4" s="72">
        <v>2019</v>
      </c>
      <c r="G4" s="72"/>
      <c r="H4" s="71">
        <v>2020</v>
      </c>
      <c r="I4" s="71"/>
      <c r="J4" s="71">
        <v>2021</v>
      </c>
      <c r="K4" s="60"/>
      <c r="L4"/>
      <c r="M4"/>
      <c r="N4"/>
      <c r="O4"/>
      <c r="P4"/>
      <c r="Q4"/>
      <c r="R4"/>
      <c r="S4"/>
      <c r="T4"/>
    </row>
    <row r="5" spans="1:20" ht="15.5" x14ac:dyDescent="0.35">
      <c r="A5" s="65" t="s">
        <v>275</v>
      </c>
      <c r="B5" s="63" t="s">
        <v>2</v>
      </c>
      <c r="C5" s="63" t="s">
        <v>3</v>
      </c>
      <c r="D5" s="63" t="s">
        <v>2</v>
      </c>
      <c r="E5" s="63" t="s">
        <v>3</v>
      </c>
      <c r="F5" s="63" t="s">
        <v>2</v>
      </c>
      <c r="G5" s="63" t="s">
        <v>3</v>
      </c>
      <c r="H5" s="63" t="s">
        <v>2</v>
      </c>
      <c r="I5" s="63" t="s">
        <v>3</v>
      </c>
      <c r="J5" s="63" t="s">
        <v>2</v>
      </c>
      <c r="K5" s="63" t="s">
        <v>3</v>
      </c>
      <c r="L5"/>
      <c r="M5"/>
      <c r="N5"/>
      <c r="O5"/>
      <c r="P5"/>
      <c r="Q5"/>
      <c r="R5"/>
      <c r="S5"/>
      <c r="T5"/>
    </row>
    <row r="6" spans="1:20" ht="15.5" x14ac:dyDescent="0.35">
      <c r="A6" s="61" t="s">
        <v>4</v>
      </c>
      <c r="B6" s="69">
        <v>84</v>
      </c>
      <c r="C6" s="62">
        <v>1403</v>
      </c>
      <c r="D6" s="69">
        <v>92</v>
      </c>
      <c r="E6" s="62">
        <v>1379</v>
      </c>
      <c r="F6" s="69">
        <v>82</v>
      </c>
      <c r="G6" s="62">
        <v>1497</v>
      </c>
      <c r="H6" s="69">
        <v>84</v>
      </c>
      <c r="I6" s="62">
        <v>1498</v>
      </c>
      <c r="J6" s="69">
        <v>96</v>
      </c>
      <c r="K6" s="62">
        <v>1275</v>
      </c>
      <c r="L6"/>
      <c r="M6"/>
      <c r="N6"/>
      <c r="O6"/>
      <c r="P6"/>
      <c r="Q6"/>
      <c r="R6"/>
      <c r="S6"/>
      <c r="T6"/>
    </row>
    <row r="7" spans="1:20" ht="15.5" x14ac:dyDescent="0.35">
      <c r="A7" s="61" t="s">
        <v>5</v>
      </c>
      <c r="B7" s="69">
        <v>69</v>
      </c>
      <c r="C7" s="62">
        <v>1396</v>
      </c>
      <c r="D7" s="69">
        <v>83</v>
      </c>
      <c r="E7" s="62">
        <v>1415</v>
      </c>
      <c r="F7" s="69">
        <v>79</v>
      </c>
      <c r="G7" s="62">
        <v>1377</v>
      </c>
      <c r="H7" s="69">
        <v>92</v>
      </c>
      <c r="I7" s="62">
        <v>1515</v>
      </c>
      <c r="J7" s="69">
        <v>85</v>
      </c>
      <c r="K7" s="62">
        <v>1262</v>
      </c>
      <c r="L7"/>
      <c r="M7"/>
      <c r="N7"/>
      <c r="O7"/>
      <c r="P7"/>
      <c r="Q7"/>
      <c r="R7"/>
      <c r="S7"/>
      <c r="T7"/>
    </row>
    <row r="8" spans="1:20" ht="15.5" x14ac:dyDescent="0.35">
      <c r="A8" s="61" t="s">
        <v>6</v>
      </c>
      <c r="B8" s="69">
        <v>90</v>
      </c>
      <c r="C8" s="62">
        <v>1523</v>
      </c>
      <c r="D8" s="69">
        <v>95</v>
      </c>
      <c r="E8" s="62">
        <v>1619</v>
      </c>
      <c r="F8" s="69">
        <v>85</v>
      </c>
      <c r="G8" s="62">
        <v>1611</v>
      </c>
      <c r="H8" s="69">
        <v>62</v>
      </c>
      <c r="I8" s="62">
        <v>1231</v>
      </c>
      <c r="J8" s="69">
        <v>107</v>
      </c>
      <c r="K8" s="62">
        <v>1529</v>
      </c>
      <c r="L8"/>
      <c r="M8"/>
      <c r="N8"/>
      <c r="O8"/>
      <c r="P8"/>
      <c r="Q8"/>
      <c r="R8"/>
      <c r="S8"/>
      <c r="T8"/>
    </row>
    <row r="9" spans="1:20" ht="15.5" x14ac:dyDescent="0.35">
      <c r="A9" s="61" t="s">
        <v>7</v>
      </c>
      <c r="B9" s="69">
        <v>97</v>
      </c>
      <c r="C9" s="62">
        <v>1619</v>
      </c>
      <c r="D9" s="69">
        <v>90</v>
      </c>
      <c r="E9" s="62">
        <v>1519</v>
      </c>
      <c r="F9" s="69">
        <v>74</v>
      </c>
      <c r="G9" s="62">
        <v>1410</v>
      </c>
      <c r="H9" s="69">
        <v>52</v>
      </c>
      <c r="I9" s="62">
        <v>979</v>
      </c>
      <c r="J9" s="69">
        <v>102</v>
      </c>
      <c r="K9" s="62">
        <v>1544</v>
      </c>
      <c r="L9"/>
      <c r="M9"/>
      <c r="N9"/>
      <c r="O9"/>
      <c r="P9"/>
      <c r="Q9"/>
      <c r="R9"/>
      <c r="S9"/>
      <c r="T9"/>
    </row>
    <row r="10" spans="1:20" ht="15.5" x14ac:dyDescent="0.35">
      <c r="A10" s="61" t="s">
        <v>8</v>
      </c>
      <c r="B10" s="69">
        <v>93</v>
      </c>
      <c r="C10" s="62">
        <v>1509</v>
      </c>
      <c r="D10" s="69">
        <v>84</v>
      </c>
      <c r="E10" s="62">
        <v>1501</v>
      </c>
      <c r="F10" s="69">
        <v>93</v>
      </c>
      <c r="G10" s="62">
        <v>1458</v>
      </c>
      <c r="H10" s="69">
        <v>107</v>
      </c>
      <c r="I10" s="62">
        <v>1191</v>
      </c>
      <c r="J10" s="69">
        <v>115</v>
      </c>
      <c r="K10" s="62">
        <v>1752</v>
      </c>
      <c r="L10"/>
      <c r="M10"/>
      <c r="N10"/>
      <c r="O10"/>
      <c r="P10"/>
      <c r="Q10"/>
      <c r="R10"/>
      <c r="S10"/>
      <c r="T10"/>
    </row>
    <row r="11" spans="1:20" ht="15.5" x14ac:dyDescent="0.35">
      <c r="A11" s="61" t="s">
        <v>9</v>
      </c>
      <c r="B11" s="69">
        <v>97</v>
      </c>
      <c r="C11" s="62">
        <v>1518</v>
      </c>
      <c r="D11" s="69">
        <v>81</v>
      </c>
      <c r="E11" s="62">
        <v>1634</v>
      </c>
      <c r="F11" s="69">
        <v>106</v>
      </c>
      <c r="G11" s="62">
        <v>1674</v>
      </c>
      <c r="H11" s="69">
        <v>94</v>
      </c>
      <c r="I11" s="62">
        <v>1356</v>
      </c>
      <c r="J11" s="69">
        <v>96</v>
      </c>
      <c r="K11" s="62">
        <v>1660</v>
      </c>
      <c r="L11"/>
      <c r="M11"/>
      <c r="N11"/>
      <c r="O11"/>
      <c r="P11"/>
      <c r="Q11"/>
      <c r="R11"/>
      <c r="S11"/>
      <c r="T11"/>
    </row>
    <row r="12" spans="1:20" ht="15.5" x14ac:dyDescent="0.35">
      <c r="A12" s="61" t="s">
        <v>10</v>
      </c>
      <c r="B12" s="69">
        <v>114</v>
      </c>
      <c r="C12" s="62">
        <v>1645</v>
      </c>
      <c r="D12" s="69">
        <v>97</v>
      </c>
      <c r="E12" s="62">
        <v>1600</v>
      </c>
      <c r="F12" s="69">
        <v>94</v>
      </c>
      <c r="G12" s="62">
        <v>1571</v>
      </c>
      <c r="H12" s="69">
        <v>115</v>
      </c>
      <c r="I12" s="62">
        <v>1355</v>
      </c>
      <c r="J12" s="69">
        <v>113</v>
      </c>
      <c r="K12" s="62">
        <v>1863</v>
      </c>
      <c r="L12"/>
      <c r="M12"/>
      <c r="N12"/>
      <c r="O12"/>
      <c r="P12"/>
      <c r="Q12"/>
      <c r="R12"/>
      <c r="S12"/>
      <c r="T12"/>
    </row>
    <row r="13" spans="1:20" ht="15.5" x14ac:dyDescent="0.35">
      <c r="A13" s="61" t="s">
        <v>11</v>
      </c>
      <c r="B13" s="69">
        <v>102</v>
      </c>
      <c r="C13" s="62">
        <v>1547</v>
      </c>
      <c r="D13" s="69">
        <v>86</v>
      </c>
      <c r="E13" s="62">
        <v>1665</v>
      </c>
      <c r="F13" s="69">
        <v>89</v>
      </c>
      <c r="G13" s="62">
        <v>1827</v>
      </c>
      <c r="H13" s="69">
        <v>110</v>
      </c>
      <c r="I13" s="62">
        <v>1524</v>
      </c>
      <c r="J13" s="69">
        <v>106</v>
      </c>
      <c r="K13" s="62">
        <v>1783</v>
      </c>
      <c r="L13"/>
      <c r="M13"/>
      <c r="N13"/>
      <c r="O13"/>
      <c r="P13"/>
      <c r="Q13"/>
      <c r="R13"/>
      <c r="S13"/>
      <c r="T13"/>
    </row>
    <row r="14" spans="1:20" ht="15.5" x14ac:dyDescent="0.35">
      <c r="A14" s="61" t="s">
        <v>12</v>
      </c>
      <c r="B14" s="69">
        <v>103</v>
      </c>
      <c r="C14" s="62">
        <v>1555</v>
      </c>
      <c r="D14" s="69">
        <v>98</v>
      </c>
      <c r="E14" s="62">
        <v>1733</v>
      </c>
      <c r="F14" s="69">
        <v>94</v>
      </c>
      <c r="G14" s="62">
        <v>1566</v>
      </c>
      <c r="H14" s="69">
        <v>96</v>
      </c>
      <c r="I14" s="62">
        <v>1424</v>
      </c>
      <c r="J14" s="69">
        <v>90</v>
      </c>
      <c r="K14" s="62">
        <v>1820</v>
      </c>
      <c r="L14"/>
      <c r="M14"/>
      <c r="N14"/>
      <c r="O14"/>
      <c r="P14"/>
      <c r="Q14"/>
      <c r="R14"/>
      <c r="S14"/>
      <c r="T14"/>
    </row>
    <row r="15" spans="1:20" ht="15.5" x14ac:dyDescent="0.35">
      <c r="A15" s="61" t="s">
        <v>13</v>
      </c>
      <c r="B15" s="69">
        <v>100</v>
      </c>
      <c r="C15" s="62">
        <v>1700</v>
      </c>
      <c r="D15" s="69">
        <v>89</v>
      </c>
      <c r="E15" s="62">
        <v>1641</v>
      </c>
      <c r="F15" s="69">
        <v>94</v>
      </c>
      <c r="G15" s="62">
        <v>1638</v>
      </c>
      <c r="H15" s="69">
        <v>110</v>
      </c>
      <c r="I15" s="62">
        <v>1567</v>
      </c>
      <c r="J15" s="69">
        <v>108</v>
      </c>
      <c r="K15" s="62">
        <v>1972</v>
      </c>
      <c r="L15"/>
      <c r="M15"/>
      <c r="N15"/>
      <c r="O15"/>
      <c r="P15"/>
      <c r="Q15"/>
      <c r="R15"/>
      <c r="S15"/>
      <c r="T15"/>
    </row>
    <row r="16" spans="1:20" ht="15.5" x14ac:dyDescent="0.35">
      <c r="A16" s="61" t="s">
        <v>14</v>
      </c>
      <c r="B16" s="69">
        <v>105</v>
      </c>
      <c r="C16" s="62">
        <v>1490</v>
      </c>
      <c r="D16" s="69">
        <v>100</v>
      </c>
      <c r="E16" s="62">
        <v>1579</v>
      </c>
      <c r="F16" s="69">
        <v>102</v>
      </c>
      <c r="G16" s="62">
        <v>1613</v>
      </c>
      <c r="H16" s="69">
        <v>120</v>
      </c>
      <c r="I16" s="62">
        <v>1457</v>
      </c>
      <c r="J16" s="69">
        <v>110</v>
      </c>
      <c r="K16" s="62">
        <v>1667</v>
      </c>
      <c r="L16"/>
      <c r="M16"/>
      <c r="N16"/>
      <c r="O16"/>
      <c r="P16"/>
      <c r="Q16"/>
      <c r="R16"/>
      <c r="S16"/>
      <c r="T16"/>
    </row>
    <row r="17" spans="1:20" ht="15.5" x14ac:dyDescent="0.35">
      <c r="A17" s="61" t="s">
        <v>15</v>
      </c>
      <c r="B17" s="69">
        <v>113</v>
      </c>
      <c r="C17" s="62">
        <v>1664</v>
      </c>
      <c r="D17" s="69">
        <v>98</v>
      </c>
      <c r="E17" s="62">
        <v>1634</v>
      </c>
      <c r="F17" s="69">
        <v>95</v>
      </c>
      <c r="G17" s="62">
        <v>1638</v>
      </c>
      <c r="H17" s="69">
        <v>101</v>
      </c>
      <c r="I17" s="62">
        <v>1267</v>
      </c>
      <c r="J17" s="69">
        <v>92</v>
      </c>
      <c r="K17" s="62">
        <v>1659</v>
      </c>
      <c r="L17"/>
      <c r="M17"/>
      <c r="N17"/>
      <c r="O17"/>
      <c r="P17"/>
      <c r="Q17"/>
      <c r="R17"/>
      <c r="S17"/>
      <c r="T17"/>
    </row>
    <row r="18" spans="1:20" ht="15.5" x14ac:dyDescent="0.35">
      <c r="A18" s="67" t="s">
        <v>276</v>
      </c>
      <c r="B18" s="69">
        <v>1167</v>
      </c>
      <c r="C18" s="62">
        <v>18569</v>
      </c>
      <c r="D18" s="69">
        <v>1093</v>
      </c>
      <c r="E18" s="62">
        <v>18919</v>
      </c>
      <c r="F18" s="69">
        <v>1087</v>
      </c>
      <c r="G18" s="62">
        <v>18880</v>
      </c>
      <c r="H18" s="69">
        <v>1143</v>
      </c>
      <c r="I18" s="62">
        <v>16364</v>
      </c>
      <c r="J18" s="69">
        <v>1220</v>
      </c>
      <c r="K18" s="62">
        <v>19786</v>
      </c>
      <c r="L18"/>
      <c r="M18"/>
      <c r="N18"/>
      <c r="O18"/>
      <c r="P18"/>
      <c r="Q18"/>
      <c r="R18"/>
      <c r="S18"/>
      <c r="T18"/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16FC7-ABBF-4D8E-994E-D29E6867ECF3}">
  <dimension ref="A1:AO18"/>
  <sheetViews>
    <sheetView workbookViewId="0">
      <selection activeCell="A2" sqref="A2"/>
    </sheetView>
  </sheetViews>
  <sheetFormatPr defaultColWidth="9.1796875" defaultRowHeight="15" x14ac:dyDescent="0.3"/>
  <cols>
    <col min="1" max="1" width="12.1796875" style="1" bestFit="1" customWidth="1"/>
    <col min="2" max="11" width="9.453125" style="4" bestFit="1" customWidth="1"/>
    <col min="12" max="15" width="10.54296875" style="1" bestFit="1" customWidth="1"/>
    <col min="16" max="21" width="11.26953125" style="1" bestFit="1" customWidth="1"/>
    <col min="22" max="22" width="14" style="1" bestFit="1" customWidth="1"/>
    <col min="23" max="24" width="9.1796875" style="1"/>
    <col min="25" max="25" width="14" style="1" bestFit="1" customWidth="1"/>
    <col min="26" max="27" width="9.1796875" style="1"/>
    <col min="28" max="28" width="14" style="1" bestFit="1" customWidth="1"/>
    <col min="29" max="29" width="9.1796875" style="1" bestFit="1" customWidth="1"/>
    <col min="30" max="30" width="9.1796875" style="1"/>
    <col min="31" max="31" width="14" style="1" bestFit="1" customWidth="1"/>
    <col min="32" max="32" width="9.1796875" style="1"/>
    <col min="33" max="33" width="14" style="1" bestFit="1" customWidth="1"/>
    <col min="34" max="36" width="9.1796875" style="1"/>
    <col min="37" max="37" width="14" style="1" bestFit="1" customWidth="1"/>
    <col min="38" max="40" width="9.1796875" style="1"/>
    <col min="41" max="41" width="14" style="1" bestFit="1" customWidth="1"/>
    <col min="42" max="16384" width="9.1796875" style="1"/>
  </cols>
  <sheetData>
    <row r="1" spans="1:41" ht="17.5" x14ac:dyDescent="0.3">
      <c r="A1" s="3" t="str">
        <f>Parameters!$A$12</f>
        <v>TABLE 5B PERSONS KILLED AND INJURED IN ALCOHOL INVOLVED CRASHES BY MONTH 2017-2021</v>
      </c>
    </row>
    <row r="3" spans="1:41" ht="15.5" x14ac:dyDescent="0.35">
      <c r="A3" s="52"/>
      <c r="B3" s="9" t="s">
        <v>20</v>
      </c>
      <c r="C3" s="53" t="s">
        <v>16</v>
      </c>
      <c r="D3" s="52"/>
      <c r="E3" s="52"/>
      <c r="F3" s="52"/>
      <c r="G3" s="52"/>
      <c r="H3" s="52"/>
      <c r="I3" s="52"/>
      <c r="J3" s="52"/>
      <c r="K3" s="52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ht="15.5" x14ac:dyDescent="0.35">
      <c r="A4" s="52"/>
      <c r="B4" s="57">
        <v>2017</v>
      </c>
      <c r="C4" s="57"/>
      <c r="D4" s="57">
        <v>2018</v>
      </c>
      <c r="E4" s="57"/>
      <c r="F4" s="57">
        <v>2019</v>
      </c>
      <c r="G4" s="57"/>
      <c r="H4" s="57">
        <v>2020</v>
      </c>
      <c r="I4" s="57"/>
      <c r="J4" s="57">
        <v>2021</v>
      </c>
      <c r="K4" s="57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ht="15.5" x14ac:dyDescent="0.35">
      <c r="A5" s="8" t="s">
        <v>275</v>
      </c>
      <c r="B5" s="47" t="s">
        <v>18</v>
      </c>
      <c r="C5" s="47" t="s">
        <v>19</v>
      </c>
      <c r="D5" s="47" t="s">
        <v>18</v>
      </c>
      <c r="E5" s="47" t="s">
        <v>19</v>
      </c>
      <c r="F5" s="47" t="s">
        <v>18</v>
      </c>
      <c r="G5" s="47" t="s">
        <v>19</v>
      </c>
      <c r="H5" s="47" t="s">
        <v>18</v>
      </c>
      <c r="I5" s="47" t="s">
        <v>19</v>
      </c>
      <c r="J5" s="47" t="s">
        <v>18</v>
      </c>
      <c r="K5" s="47" t="s">
        <v>19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ht="15.5" x14ac:dyDescent="0.35">
      <c r="A6" s="52" t="s">
        <v>4</v>
      </c>
      <c r="B6" s="54">
        <v>94</v>
      </c>
      <c r="C6" s="54">
        <v>1991</v>
      </c>
      <c r="D6" s="54">
        <v>103</v>
      </c>
      <c r="E6" s="54">
        <v>2004</v>
      </c>
      <c r="F6" s="54">
        <v>86</v>
      </c>
      <c r="G6" s="54">
        <v>2168</v>
      </c>
      <c r="H6" s="54">
        <v>91</v>
      </c>
      <c r="I6" s="54">
        <v>2114</v>
      </c>
      <c r="J6" s="54">
        <v>113</v>
      </c>
      <c r="K6" s="54">
        <v>1782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15.5" x14ac:dyDescent="0.35">
      <c r="A7" s="52" t="s">
        <v>5</v>
      </c>
      <c r="B7" s="54">
        <v>73</v>
      </c>
      <c r="C7" s="54">
        <v>1992</v>
      </c>
      <c r="D7" s="54">
        <v>92</v>
      </c>
      <c r="E7" s="54">
        <v>1999</v>
      </c>
      <c r="F7" s="54">
        <v>90</v>
      </c>
      <c r="G7" s="54">
        <v>1987</v>
      </c>
      <c r="H7" s="54">
        <v>103</v>
      </c>
      <c r="I7" s="54">
        <v>2161</v>
      </c>
      <c r="J7" s="54">
        <v>93</v>
      </c>
      <c r="K7" s="54">
        <v>1768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ht="15.5" x14ac:dyDescent="0.35">
      <c r="A8" s="52" t="s">
        <v>6</v>
      </c>
      <c r="B8" s="54">
        <v>109</v>
      </c>
      <c r="C8" s="54">
        <v>2204</v>
      </c>
      <c r="D8" s="54">
        <v>110</v>
      </c>
      <c r="E8" s="54">
        <v>2346</v>
      </c>
      <c r="F8" s="54">
        <v>91</v>
      </c>
      <c r="G8" s="54">
        <v>2320</v>
      </c>
      <c r="H8" s="54">
        <v>67</v>
      </c>
      <c r="I8" s="54">
        <v>1781</v>
      </c>
      <c r="J8" s="54">
        <v>117</v>
      </c>
      <c r="K8" s="54">
        <v>2243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ht="15.5" x14ac:dyDescent="0.35">
      <c r="A9" s="52" t="s">
        <v>7</v>
      </c>
      <c r="B9" s="54">
        <v>104</v>
      </c>
      <c r="C9" s="54">
        <v>2346</v>
      </c>
      <c r="D9" s="54">
        <v>104</v>
      </c>
      <c r="E9" s="54">
        <v>2264</v>
      </c>
      <c r="F9" s="54">
        <v>77</v>
      </c>
      <c r="G9" s="54">
        <v>2022</v>
      </c>
      <c r="H9" s="54">
        <v>59</v>
      </c>
      <c r="I9" s="54">
        <v>1310</v>
      </c>
      <c r="J9" s="54">
        <v>111</v>
      </c>
      <c r="K9" s="54">
        <v>2271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5.5" x14ac:dyDescent="0.35">
      <c r="A10" s="52" t="s">
        <v>8</v>
      </c>
      <c r="B10" s="54">
        <v>100</v>
      </c>
      <c r="C10" s="54">
        <v>2191</v>
      </c>
      <c r="D10" s="54">
        <v>89</v>
      </c>
      <c r="E10" s="54">
        <v>2157</v>
      </c>
      <c r="F10" s="54">
        <v>103</v>
      </c>
      <c r="G10" s="54">
        <v>2106</v>
      </c>
      <c r="H10" s="54">
        <v>124</v>
      </c>
      <c r="I10" s="54">
        <v>1671</v>
      </c>
      <c r="J10" s="54">
        <v>126</v>
      </c>
      <c r="K10" s="54">
        <v>2539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ht="15.5" x14ac:dyDescent="0.35">
      <c r="A11" s="52" t="s">
        <v>9</v>
      </c>
      <c r="B11" s="54">
        <v>107</v>
      </c>
      <c r="C11" s="54">
        <v>2206</v>
      </c>
      <c r="D11" s="54">
        <v>88</v>
      </c>
      <c r="E11" s="54">
        <v>2364</v>
      </c>
      <c r="F11" s="54">
        <v>118</v>
      </c>
      <c r="G11" s="54">
        <v>2463</v>
      </c>
      <c r="H11" s="54">
        <v>100</v>
      </c>
      <c r="I11" s="54">
        <v>1986</v>
      </c>
      <c r="J11" s="54">
        <v>109</v>
      </c>
      <c r="K11" s="54">
        <v>2474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ht="15.5" x14ac:dyDescent="0.35">
      <c r="A12" s="52" t="s">
        <v>10</v>
      </c>
      <c r="B12" s="54">
        <v>132</v>
      </c>
      <c r="C12" s="54">
        <v>2448</v>
      </c>
      <c r="D12" s="54">
        <v>108</v>
      </c>
      <c r="E12" s="54">
        <v>2372</v>
      </c>
      <c r="F12" s="54">
        <v>101</v>
      </c>
      <c r="G12" s="54">
        <v>2270</v>
      </c>
      <c r="H12" s="54">
        <v>125</v>
      </c>
      <c r="I12" s="54">
        <v>1893</v>
      </c>
      <c r="J12" s="54">
        <v>122</v>
      </c>
      <c r="K12" s="54">
        <v>2703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ht="15.5" x14ac:dyDescent="0.35">
      <c r="A13" s="52" t="s">
        <v>11</v>
      </c>
      <c r="B13" s="54">
        <v>112</v>
      </c>
      <c r="C13" s="54">
        <v>2255</v>
      </c>
      <c r="D13" s="54">
        <v>96</v>
      </c>
      <c r="E13" s="54">
        <v>2428</v>
      </c>
      <c r="F13" s="54">
        <v>98</v>
      </c>
      <c r="G13" s="54">
        <v>2667</v>
      </c>
      <c r="H13" s="54">
        <v>120</v>
      </c>
      <c r="I13" s="54">
        <v>2268</v>
      </c>
      <c r="J13" s="54">
        <v>117</v>
      </c>
      <c r="K13" s="54">
        <v>2557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ht="15.5" x14ac:dyDescent="0.35">
      <c r="A14" s="52" t="s">
        <v>12</v>
      </c>
      <c r="B14" s="54">
        <v>110</v>
      </c>
      <c r="C14" s="54">
        <v>2296</v>
      </c>
      <c r="D14" s="54">
        <v>110</v>
      </c>
      <c r="E14" s="54">
        <v>2467</v>
      </c>
      <c r="F14" s="54">
        <v>103</v>
      </c>
      <c r="G14" s="54">
        <v>2252</v>
      </c>
      <c r="H14" s="54">
        <v>107</v>
      </c>
      <c r="I14" s="54">
        <v>2067</v>
      </c>
      <c r="J14" s="54">
        <v>97</v>
      </c>
      <c r="K14" s="54">
        <v>2567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5.5" x14ac:dyDescent="0.35">
      <c r="A15" s="52" t="s">
        <v>13</v>
      </c>
      <c r="B15" s="54">
        <v>109</v>
      </c>
      <c r="C15" s="54">
        <v>2442</v>
      </c>
      <c r="D15" s="54">
        <v>103</v>
      </c>
      <c r="E15" s="54">
        <v>2314</v>
      </c>
      <c r="F15" s="54">
        <v>107</v>
      </c>
      <c r="G15" s="54">
        <v>2359</v>
      </c>
      <c r="H15" s="54">
        <v>119</v>
      </c>
      <c r="I15" s="54">
        <v>2224</v>
      </c>
      <c r="J15" s="54">
        <v>117</v>
      </c>
      <c r="K15" s="54">
        <v>2854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ht="15.5" x14ac:dyDescent="0.35">
      <c r="A16" s="52" t="s">
        <v>14</v>
      </c>
      <c r="B16" s="54">
        <v>121</v>
      </c>
      <c r="C16" s="54">
        <v>2224</v>
      </c>
      <c r="D16" s="54">
        <v>108</v>
      </c>
      <c r="E16" s="54">
        <v>2325</v>
      </c>
      <c r="F16" s="54">
        <v>109</v>
      </c>
      <c r="G16" s="54">
        <v>2331</v>
      </c>
      <c r="H16" s="54">
        <v>139</v>
      </c>
      <c r="I16" s="54">
        <v>2044</v>
      </c>
      <c r="J16" s="54">
        <v>122</v>
      </c>
      <c r="K16" s="54">
        <v>2394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ht="15.5" x14ac:dyDescent="0.35">
      <c r="A17" s="52" t="s">
        <v>15</v>
      </c>
      <c r="B17" s="54">
        <v>123</v>
      </c>
      <c r="C17" s="54">
        <v>2372</v>
      </c>
      <c r="D17" s="54">
        <v>110</v>
      </c>
      <c r="E17" s="54">
        <v>2385</v>
      </c>
      <c r="F17" s="54">
        <v>104</v>
      </c>
      <c r="G17" s="54">
        <v>2388</v>
      </c>
      <c r="H17" s="54">
        <v>112</v>
      </c>
      <c r="I17" s="54">
        <v>1814</v>
      </c>
      <c r="J17" s="54">
        <v>100</v>
      </c>
      <c r="K17" s="54">
        <v>2430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15.5" x14ac:dyDescent="0.35">
      <c r="A18" s="55" t="s">
        <v>276</v>
      </c>
      <c r="B18" s="54">
        <v>1294</v>
      </c>
      <c r="C18" s="54">
        <v>26967</v>
      </c>
      <c r="D18" s="54">
        <v>1221</v>
      </c>
      <c r="E18" s="54">
        <v>27425</v>
      </c>
      <c r="F18" s="54">
        <v>1187</v>
      </c>
      <c r="G18" s="54">
        <v>27333</v>
      </c>
      <c r="H18" s="54">
        <v>1266</v>
      </c>
      <c r="I18" s="54">
        <v>23333</v>
      </c>
      <c r="J18" s="54">
        <v>1344</v>
      </c>
      <c r="K18" s="54">
        <v>28582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FB34-5FDD-4F46-A259-8E63A99B6D82}">
  <dimension ref="A1:T64"/>
  <sheetViews>
    <sheetView workbookViewId="0">
      <selection activeCell="A2" sqref="A2"/>
    </sheetView>
  </sheetViews>
  <sheetFormatPr defaultColWidth="9.1796875" defaultRowHeight="15" x14ac:dyDescent="0.3"/>
  <cols>
    <col min="1" max="1" width="17.81640625" style="1" bestFit="1" customWidth="1"/>
    <col min="2" max="2" width="9.1796875" style="1" bestFit="1" customWidth="1"/>
    <col min="3" max="3" width="8.453125" style="1" bestFit="1" customWidth="1"/>
    <col min="4" max="4" width="9.1796875" style="1" bestFit="1" customWidth="1"/>
    <col min="5" max="5" width="8.453125" style="1" bestFit="1" customWidth="1"/>
    <col min="6" max="6" width="9.1796875" style="1" bestFit="1" customWidth="1"/>
    <col min="7" max="7" width="8.453125" style="1" bestFit="1" customWidth="1"/>
    <col min="8" max="8" width="9.1796875" style="1" bestFit="1" customWidth="1"/>
    <col min="9" max="9" width="8.453125" style="1" bestFit="1" customWidth="1"/>
    <col min="10" max="10" width="9.1796875" style="1" bestFit="1" customWidth="1"/>
    <col min="11" max="11" width="8.453125" style="1" bestFit="1" customWidth="1"/>
    <col min="12" max="13" width="9.1796875" style="1" bestFit="1" customWidth="1"/>
    <col min="14" max="14" width="9.1796875" style="1"/>
    <col min="15" max="15" width="9.1796875" style="1" bestFit="1" customWidth="1"/>
    <col min="16" max="16" width="14" style="1" bestFit="1" customWidth="1"/>
    <col min="17" max="17" width="15.26953125" style="1" bestFit="1" customWidth="1"/>
    <col min="18" max="18" width="8.26953125" style="1" bestFit="1" customWidth="1"/>
    <col min="19" max="19" width="14" style="1" bestFit="1" customWidth="1"/>
    <col min="20" max="20" width="15.26953125" style="1" bestFit="1" customWidth="1"/>
    <col min="21" max="16384" width="9.1796875" style="1"/>
  </cols>
  <sheetData>
    <row r="1" spans="1:20" ht="17.5" x14ac:dyDescent="0.35">
      <c r="A1" s="2" t="str">
        <f>Parameters!$A$15</f>
        <v>TABLE 5C ALCOHOL INVOLVED FATAL AND INJURY CRASHES BY COUNTY 2017-2021</v>
      </c>
    </row>
    <row r="3" spans="1:20" ht="15.5" x14ac:dyDescent="0.35">
      <c r="A3" s="59" t="s">
        <v>20</v>
      </c>
      <c r="B3" s="64" t="s">
        <v>16</v>
      </c>
      <c r="C3" s="60"/>
      <c r="D3" s="60"/>
      <c r="E3" s="60"/>
      <c r="F3" s="60"/>
      <c r="G3" s="60"/>
      <c r="H3" s="60"/>
      <c r="I3" s="60"/>
      <c r="J3" s="60"/>
      <c r="K3" s="60"/>
      <c r="L3"/>
      <c r="M3"/>
      <c r="N3"/>
      <c r="O3"/>
      <c r="P3"/>
      <c r="Q3"/>
      <c r="R3"/>
      <c r="S3"/>
      <c r="T3"/>
    </row>
    <row r="4" spans="1:20" ht="15.5" x14ac:dyDescent="0.35">
      <c r="A4" s="60"/>
      <c r="B4" s="66">
        <v>2017</v>
      </c>
      <c r="C4" s="66"/>
      <c r="D4" s="66">
        <v>2018</v>
      </c>
      <c r="E4" s="66"/>
      <c r="F4" s="66">
        <v>2019</v>
      </c>
      <c r="G4" s="66"/>
      <c r="H4" s="66">
        <v>2020</v>
      </c>
      <c r="I4" s="66"/>
      <c r="J4" s="66">
        <v>2021</v>
      </c>
      <c r="K4" s="66"/>
      <c r="L4"/>
      <c r="M4"/>
      <c r="N4"/>
      <c r="O4"/>
      <c r="P4"/>
      <c r="Q4"/>
      <c r="R4"/>
      <c r="S4"/>
      <c r="T4"/>
    </row>
    <row r="5" spans="1:20" ht="15.5" x14ac:dyDescent="0.35">
      <c r="A5" s="65" t="s">
        <v>277</v>
      </c>
      <c r="B5" s="63" t="s">
        <v>2</v>
      </c>
      <c r="C5" s="63" t="s">
        <v>3</v>
      </c>
      <c r="D5" s="63" t="s">
        <v>2</v>
      </c>
      <c r="E5" s="63" t="s">
        <v>3</v>
      </c>
      <c r="F5" s="63" t="s">
        <v>2</v>
      </c>
      <c r="G5" s="63" t="s">
        <v>3</v>
      </c>
      <c r="H5" s="63" t="s">
        <v>2</v>
      </c>
      <c r="I5" s="63" t="s">
        <v>3</v>
      </c>
      <c r="J5" s="63" t="s">
        <v>2</v>
      </c>
      <c r="K5" s="63" t="s">
        <v>3</v>
      </c>
      <c r="L5"/>
      <c r="M5"/>
      <c r="N5"/>
      <c r="O5"/>
      <c r="P5"/>
      <c r="Q5"/>
      <c r="R5"/>
      <c r="S5"/>
      <c r="T5"/>
    </row>
    <row r="6" spans="1:20" ht="15.5" x14ac:dyDescent="0.35">
      <c r="A6" s="61" t="s">
        <v>21</v>
      </c>
      <c r="B6" s="69">
        <v>32</v>
      </c>
      <c r="C6" s="69">
        <v>660</v>
      </c>
      <c r="D6" s="69">
        <v>23</v>
      </c>
      <c r="E6" s="69">
        <v>683</v>
      </c>
      <c r="F6" s="69">
        <v>28</v>
      </c>
      <c r="G6" s="69">
        <v>655</v>
      </c>
      <c r="H6" s="69">
        <v>28</v>
      </c>
      <c r="I6" s="69">
        <v>493</v>
      </c>
      <c r="J6" s="69">
        <v>33</v>
      </c>
      <c r="K6" s="69">
        <v>621</v>
      </c>
      <c r="L6"/>
      <c r="M6"/>
      <c r="N6"/>
      <c r="O6"/>
      <c r="P6"/>
      <c r="Q6"/>
      <c r="R6"/>
      <c r="S6"/>
      <c r="T6"/>
    </row>
    <row r="7" spans="1:20" ht="15.5" x14ac:dyDescent="0.35">
      <c r="A7" s="61" t="s">
        <v>22</v>
      </c>
      <c r="B7" s="69">
        <v>2</v>
      </c>
      <c r="C7" s="69">
        <v>9</v>
      </c>
      <c r="D7" s="69">
        <v>1</v>
      </c>
      <c r="E7" s="69">
        <v>3</v>
      </c>
      <c r="F7" s="69">
        <v>0</v>
      </c>
      <c r="G7" s="69">
        <v>4</v>
      </c>
      <c r="H7" s="69">
        <v>0</v>
      </c>
      <c r="I7" s="69">
        <v>2</v>
      </c>
      <c r="J7" s="69">
        <v>0</v>
      </c>
      <c r="K7" s="69">
        <v>3</v>
      </c>
      <c r="L7"/>
      <c r="M7"/>
      <c r="N7"/>
      <c r="O7"/>
      <c r="P7"/>
      <c r="Q7"/>
      <c r="R7"/>
      <c r="S7"/>
      <c r="T7"/>
    </row>
    <row r="8" spans="1:20" ht="15.5" x14ac:dyDescent="0.35">
      <c r="A8" s="61" t="s">
        <v>23</v>
      </c>
      <c r="B8" s="69">
        <v>5</v>
      </c>
      <c r="C8" s="69">
        <v>37</v>
      </c>
      <c r="D8" s="69">
        <v>2</v>
      </c>
      <c r="E8" s="69">
        <v>28</v>
      </c>
      <c r="F8" s="69">
        <v>4</v>
      </c>
      <c r="G8" s="69">
        <v>38</v>
      </c>
      <c r="H8" s="69">
        <v>2</v>
      </c>
      <c r="I8" s="69">
        <v>33</v>
      </c>
      <c r="J8" s="69">
        <v>8</v>
      </c>
      <c r="K8" s="69">
        <v>42</v>
      </c>
      <c r="L8"/>
      <c r="M8"/>
      <c r="N8"/>
      <c r="O8"/>
      <c r="P8"/>
      <c r="Q8"/>
      <c r="R8"/>
      <c r="S8"/>
      <c r="T8"/>
    </row>
    <row r="9" spans="1:20" ht="15.5" x14ac:dyDescent="0.35">
      <c r="A9" s="61" t="s">
        <v>24</v>
      </c>
      <c r="B9" s="69">
        <v>17</v>
      </c>
      <c r="C9" s="69">
        <v>120</v>
      </c>
      <c r="D9" s="69">
        <v>9</v>
      </c>
      <c r="E9" s="69">
        <v>138</v>
      </c>
      <c r="F9" s="69">
        <v>9</v>
      </c>
      <c r="G9" s="69">
        <v>143</v>
      </c>
      <c r="H9" s="69">
        <v>11</v>
      </c>
      <c r="I9" s="69">
        <v>123</v>
      </c>
      <c r="J9" s="69">
        <v>13</v>
      </c>
      <c r="K9" s="69">
        <v>138</v>
      </c>
      <c r="L9"/>
      <c r="M9"/>
      <c r="N9"/>
      <c r="O9"/>
      <c r="P9"/>
      <c r="Q9"/>
      <c r="R9"/>
      <c r="S9"/>
      <c r="T9"/>
    </row>
    <row r="10" spans="1:20" ht="15.5" x14ac:dyDescent="0.35">
      <c r="A10" s="61" t="s">
        <v>25</v>
      </c>
      <c r="B10" s="69">
        <v>5</v>
      </c>
      <c r="C10" s="69">
        <v>50</v>
      </c>
      <c r="D10" s="69">
        <v>5</v>
      </c>
      <c r="E10" s="69">
        <v>35</v>
      </c>
      <c r="F10" s="69">
        <v>4</v>
      </c>
      <c r="G10" s="69">
        <v>45</v>
      </c>
      <c r="H10" s="69">
        <v>2</v>
      </c>
      <c r="I10" s="69">
        <v>45</v>
      </c>
      <c r="J10" s="69">
        <v>5</v>
      </c>
      <c r="K10" s="69">
        <v>44</v>
      </c>
      <c r="L10"/>
      <c r="M10"/>
      <c r="N10"/>
      <c r="O10"/>
      <c r="P10"/>
      <c r="Q10"/>
      <c r="R10"/>
      <c r="S10"/>
      <c r="T10"/>
    </row>
    <row r="11" spans="1:20" ht="15.5" x14ac:dyDescent="0.35">
      <c r="A11" s="61" t="s">
        <v>26</v>
      </c>
      <c r="B11" s="69">
        <v>3</v>
      </c>
      <c r="C11" s="69">
        <v>13</v>
      </c>
      <c r="D11" s="69">
        <v>1</v>
      </c>
      <c r="E11" s="69">
        <v>16</v>
      </c>
      <c r="F11" s="69">
        <v>1</v>
      </c>
      <c r="G11" s="69">
        <v>21</v>
      </c>
      <c r="H11" s="69">
        <v>2</v>
      </c>
      <c r="I11" s="69">
        <v>17</v>
      </c>
      <c r="J11" s="69">
        <v>4</v>
      </c>
      <c r="K11" s="69">
        <v>33</v>
      </c>
      <c r="L11"/>
      <c r="M11"/>
      <c r="N11"/>
      <c r="O11"/>
      <c r="P11"/>
      <c r="Q11"/>
      <c r="R11"/>
      <c r="S11"/>
      <c r="T11"/>
    </row>
    <row r="12" spans="1:20" ht="15.5" x14ac:dyDescent="0.35">
      <c r="A12" s="61" t="s">
        <v>27</v>
      </c>
      <c r="B12" s="69">
        <v>21</v>
      </c>
      <c r="C12" s="69">
        <v>424</v>
      </c>
      <c r="D12" s="69">
        <v>29</v>
      </c>
      <c r="E12" s="69">
        <v>457</v>
      </c>
      <c r="F12" s="69">
        <v>27</v>
      </c>
      <c r="G12" s="69">
        <v>492</v>
      </c>
      <c r="H12" s="69">
        <v>28</v>
      </c>
      <c r="I12" s="69">
        <v>365</v>
      </c>
      <c r="J12" s="69">
        <v>29</v>
      </c>
      <c r="K12" s="69">
        <v>409</v>
      </c>
      <c r="L12"/>
      <c r="M12"/>
      <c r="N12"/>
      <c r="O12"/>
      <c r="P12"/>
      <c r="Q12"/>
      <c r="R12"/>
      <c r="S12"/>
      <c r="T12"/>
    </row>
    <row r="13" spans="1:20" ht="15.5" x14ac:dyDescent="0.35">
      <c r="A13" s="61" t="s">
        <v>28</v>
      </c>
      <c r="B13" s="69">
        <v>4</v>
      </c>
      <c r="C13" s="69">
        <v>12</v>
      </c>
      <c r="D13" s="69">
        <v>2</v>
      </c>
      <c r="E13" s="69">
        <v>19</v>
      </c>
      <c r="F13" s="69">
        <v>1</v>
      </c>
      <c r="G13" s="69">
        <v>19</v>
      </c>
      <c r="H13" s="69">
        <v>2</v>
      </c>
      <c r="I13" s="69">
        <v>25</v>
      </c>
      <c r="J13" s="69">
        <v>0</v>
      </c>
      <c r="K13" s="69">
        <v>21</v>
      </c>
      <c r="L13"/>
      <c r="M13"/>
      <c r="N13"/>
      <c r="O13"/>
      <c r="P13"/>
      <c r="Q13"/>
      <c r="R13"/>
      <c r="S13"/>
      <c r="T13"/>
    </row>
    <row r="14" spans="1:20" ht="15.5" x14ac:dyDescent="0.35">
      <c r="A14" s="61" t="s">
        <v>29</v>
      </c>
      <c r="B14" s="69">
        <v>3</v>
      </c>
      <c r="C14" s="69">
        <v>123</v>
      </c>
      <c r="D14" s="69">
        <v>6</v>
      </c>
      <c r="E14" s="69">
        <v>146</v>
      </c>
      <c r="F14" s="69">
        <v>11</v>
      </c>
      <c r="G14" s="69">
        <v>103</v>
      </c>
      <c r="H14" s="69">
        <v>11</v>
      </c>
      <c r="I14" s="69">
        <v>112</v>
      </c>
      <c r="J14" s="69">
        <v>13</v>
      </c>
      <c r="K14" s="69">
        <v>114</v>
      </c>
      <c r="L14"/>
      <c r="M14"/>
      <c r="N14"/>
      <c r="O14"/>
      <c r="P14"/>
      <c r="Q14"/>
      <c r="R14"/>
      <c r="S14"/>
      <c r="T14"/>
    </row>
    <row r="15" spans="1:20" ht="15.5" x14ac:dyDescent="0.35">
      <c r="A15" s="61" t="s">
        <v>30</v>
      </c>
      <c r="B15" s="69">
        <v>41</v>
      </c>
      <c r="C15" s="69">
        <v>303</v>
      </c>
      <c r="D15" s="69">
        <v>30</v>
      </c>
      <c r="E15" s="69">
        <v>315</v>
      </c>
      <c r="F15" s="69">
        <v>34</v>
      </c>
      <c r="G15" s="69">
        <v>305</v>
      </c>
      <c r="H15" s="69">
        <v>43</v>
      </c>
      <c r="I15" s="69">
        <v>385</v>
      </c>
      <c r="J15" s="69">
        <v>51</v>
      </c>
      <c r="K15" s="69">
        <v>481</v>
      </c>
      <c r="L15"/>
      <c r="M15"/>
      <c r="N15"/>
      <c r="O15"/>
      <c r="P15"/>
      <c r="Q15"/>
      <c r="R15"/>
      <c r="S15"/>
      <c r="T15"/>
    </row>
    <row r="16" spans="1:20" ht="15.5" x14ac:dyDescent="0.35">
      <c r="A16" s="61" t="s">
        <v>31</v>
      </c>
      <c r="B16" s="69">
        <v>3</v>
      </c>
      <c r="C16" s="69">
        <v>21</v>
      </c>
      <c r="D16" s="69">
        <v>1</v>
      </c>
      <c r="E16" s="69">
        <v>21</v>
      </c>
      <c r="F16" s="69">
        <v>1</v>
      </c>
      <c r="G16" s="69">
        <v>15</v>
      </c>
      <c r="H16" s="69">
        <v>1</v>
      </c>
      <c r="I16" s="69">
        <v>18</v>
      </c>
      <c r="J16" s="69">
        <v>1</v>
      </c>
      <c r="K16" s="69">
        <v>23</v>
      </c>
      <c r="L16"/>
      <c r="M16"/>
      <c r="N16"/>
      <c r="O16"/>
      <c r="P16"/>
      <c r="Q16"/>
      <c r="R16"/>
      <c r="S16"/>
      <c r="T16"/>
    </row>
    <row r="17" spans="1:20" ht="15.5" x14ac:dyDescent="0.35">
      <c r="A17" s="61" t="s">
        <v>32</v>
      </c>
      <c r="B17" s="69">
        <v>14</v>
      </c>
      <c r="C17" s="69">
        <v>111</v>
      </c>
      <c r="D17" s="69">
        <v>8</v>
      </c>
      <c r="E17" s="69">
        <v>99</v>
      </c>
      <c r="F17" s="69">
        <v>14</v>
      </c>
      <c r="G17" s="69">
        <v>100</v>
      </c>
      <c r="H17" s="69">
        <v>7</v>
      </c>
      <c r="I17" s="69">
        <v>80</v>
      </c>
      <c r="J17" s="69">
        <v>7</v>
      </c>
      <c r="K17" s="69">
        <v>89</v>
      </c>
      <c r="L17"/>
      <c r="M17"/>
      <c r="N17"/>
      <c r="O17"/>
      <c r="P17"/>
      <c r="Q17"/>
      <c r="R17"/>
      <c r="S17"/>
      <c r="T17"/>
    </row>
    <row r="18" spans="1:20" ht="15.5" x14ac:dyDescent="0.35">
      <c r="A18" s="61" t="s">
        <v>33</v>
      </c>
      <c r="B18" s="69">
        <v>5</v>
      </c>
      <c r="C18" s="69">
        <v>42</v>
      </c>
      <c r="D18" s="69">
        <v>8</v>
      </c>
      <c r="E18" s="69">
        <v>67</v>
      </c>
      <c r="F18" s="69">
        <v>7</v>
      </c>
      <c r="G18" s="69">
        <v>60</v>
      </c>
      <c r="H18" s="69">
        <v>1</v>
      </c>
      <c r="I18" s="69">
        <v>49</v>
      </c>
      <c r="J18" s="69">
        <v>8</v>
      </c>
      <c r="K18" s="69">
        <v>67</v>
      </c>
      <c r="L18"/>
      <c r="M18"/>
      <c r="N18"/>
      <c r="O18"/>
      <c r="P18"/>
      <c r="Q18"/>
      <c r="R18"/>
      <c r="S18"/>
      <c r="T18"/>
    </row>
    <row r="19" spans="1:20" ht="15.5" x14ac:dyDescent="0.35">
      <c r="A19" s="61" t="s">
        <v>34</v>
      </c>
      <c r="B19" s="69">
        <v>1</v>
      </c>
      <c r="C19" s="69">
        <v>9</v>
      </c>
      <c r="D19" s="69">
        <v>0</v>
      </c>
      <c r="E19" s="69">
        <v>8</v>
      </c>
      <c r="F19" s="69">
        <v>1</v>
      </c>
      <c r="G19" s="69">
        <v>10</v>
      </c>
      <c r="H19" s="69">
        <v>1</v>
      </c>
      <c r="I19" s="69">
        <v>16</v>
      </c>
      <c r="J19" s="69">
        <v>1</v>
      </c>
      <c r="K19" s="69">
        <v>16</v>
      </c>
      <c r="L19"/>
      <c r="M19"/>
      <c r="N19"/>
      <c r="O19"/>
    </row>
    <row r="20" spans="1:20" ht="15.5" x14ac:dyDescent="0.35">
      <c r="A20" s="61" t="s">
        <v>35</v>
      </c>
      <c r="B20" s="69">
        <v>50</v>
      </c>
      <c r="C20" s="69">
        <v>431</v>
      </c>
      <c r="D20" s="69">
        <v>39</v>
      </c>
      <c r="E20" s="69">
        <v>439</v>
      </c>
      <c r="F20" s="69">
        <v>48</v>
      </c>
      <c r="G20" s="69">
        <v>435</v>
      </c>
      <c r="H20" s="69">
        <v>59</v>
      </c>
      <c r="I20" s="69">
        <v>496</v>
      </c>
      <c r="J20" s="69">
        <v>58</v>
      </c>
      <c r="K20" s="69">
        <v>502</v>
      </c>
      <c r="L20"/>
      <c r="M20"/>
      <c r="N20"/>
      <c r="O20"/>
    </row>
    <row r="21" spans="1:20" ht="15.5" x14ac:dyDescent="0.35">
      <c r="A21" s="61" t="s">
        <v>36</v>
      </c>
      <c r="B21" s="69">
        <v>7</v>
      </c>
      <c r="C21" s="69">
        <v>75</v>
      </c>
      <c r="D21" s="69">
        <v>8</v>
      </c>
      <c r="E21" s="69">
        <v>59</v>
      </c>
      <c r="F21" s="69">
        <v>6</v>
      </c>
      <c r="G21" s="69">
        <v>78</v>
      </c>
      <c r="H21" s="69">
        <v>4</v>
      </c>
      <c r="I21" s="69">
        <v>87</v>
      </c>
      <c r="J21" s="69">
        <v>4</v>
      </c>
      <c r="K21" s="69">
        <v>89</v>
      </c>
      <c r="L21"/>
      <c r="M21"/>
      <c r="N21"/>
      <c r="O21"/>
    </row>
    <row r="22" spans="1:20" ht="15.5" x14ac:dyDescent="0.35">
      <c r="A22" s="61" t="s">
        <v>37</v>
      </c>
      <c r="B22" s="69">
        <v>6</v>
      </c>
      <c r="C22" s="69">
        <v>66</v>
      </c>
      <c r="D22" s="69">
        <v>2</v>
      </c>
      <c r="E22" s="69">
        <v>44</v>
      </c>
      <c r="F22" s="69">
        <v>5</v>
      </c>
      <c r="G22" s="69">
        <v>55</v>
      </c>
      <c r="H22" s="69">
        <v>3</v>
      </c>
      <c r="I22" s="69">
        <v>68</v>
      </c>
      <c r="J22" s="69">
        <v>6</v>
      </c>
      <c r="K22" s="69">
        <v>64</v>
      </c>
      <c r="L22"/>
      <c r="M22"/>
      <c r="N22"/>
      <c r="O22"/>
    </row>
    <row r="23" spans="1:20" ht="15.5" x14ac:dyDescent="0.35">
      <c r="A23" s="61" t="s">
        <v>38</v>
      </c>
      <c r="B23" s="69">
        <v>1</v>
      </c>
      <c r="C23" s="69">
        <v>12</v>
      </c>
      <c r="D23" s="69">
        <v>3</v>
      </c>
      <c r="E23" s="69">
        <v>12</v>
      </c>
      <c r="F23" s="69">
        <v>0</v>
      </c>
      <c r="G23" s="69">
        <v>15</v>
      </c>
      <c r="H23" s="69">
        <v>4</v>
      </c>
      <c r="I23" s="69">
        <v>11</v>
      </c>
      <c r="J23" s="69">
        <v>2</v>
      </c>
      <c r="K23" s="69">
        <v>16</v>
      </c>
      <c r="L23"/>
      <c r="M23"/>
      <c r="N23"/>
      <c r="O23"/>
    </row>
    <row r="24" spans="1:20" ht="15.5" x14ac:dyDescent="0.35">
      <c r="A24" s="61" t="s">
        <v>39</v>
      </c>
      <c r="B24" s="69">
        <v>205</v>
      </c>
      <c r="C24" s="69">
        <v>4749</v>
      </c>
      <c r="D24" s="69">
        <v>217</v>
      </c>
      <c r="E24" s="69">
        <v>4815</v>
      </c>
      <c r="F24" s="69">
        <v>202</v>
      </c>
      <c r="G24" s="69">
        <v>4784</v>
      </c>
      <c r="H24" s="69">
        <v>207</v>
      </c>
      <c r="I24" s="69">
        <v>3926</v>
      </c>
      <c r="J24" s="69">
        <v>153</v>
      </c>
      <c r="K24" s="69">
        <v>4462</v>
      </c>
      <c r="L24"/>
      <c r="M24"/>
      <c r="N24"/>
      <c r="O24"/>
    </row>
    <row r="25" spans="1:20" ht="15.5" x14ac:dyDescent="0.35">
      <c r="A25" s="61" t="s">
        <v>40</v>
      </c>
      <c r="B25" s="69">
        <v>6</v>
      </c>
      <c r="C25" s="69">
        <v>101</v>
      </c>
      <c r="D25" s="69">
        <v>6</v>
      </c>
      <c r="E25" s="69">
        <v>122</v>
      </c>
      <c r="F25" s="69">
        <v>9</v>
      </c>
      <c r="G25" s="69">
        <v>100</v>
      </c>
      <c r="H25" s="69">
        <v>9</v>
      </c>
      <c r="I25" s="69">
        <v>86</v>
      </c>
      <c r="J25" s="69">
        <v>8</v>
      </c>
      <c r="K25" s="69">
        <v>123</v>
      </c>
      <c r="L25"/>
      <c r="M25"/>
      <c r="N25"/>
      <c r="O25"/>
    </row>
    <row r="26" spans="1:20" ht="15.5" x14ac:dyDescent="0.35">
      <c r="A26" s="61" t="s">
        <v>41</v>
      </c>
      <c r="B26" s="69">
        <v>1</v>
      </c>
      <c r="C26" s="69">
        <v>115</v>
      </c>
      <c r="D26" s="69">
        <v>6</v>
      </c>
      <c r="E26" s="69">
        <v>112</v>
      </c>
      <c r="F26" s="69">
        <v>7</v>
      </c>
      <c r="G26" s="69">
        <v>109</v>
      </c>
      <c r="H26" s="69">
        <v>0</v>
      </c>
      <c r="I26" s="69">
        <v>85</v>
      </c>
      <c r="J26" s="69">
        <v>2</v>
      </c>
      <c r="K26" s="69">
        <v>92</v>
      </c>
      <c r="L26"/>
      <c r="M26"/>
      <c r="N26"/>
      <c r="O26"/>
    </row>
    <row r="27" spans="1:20" ht="15.5" x14ac:dyDescent="0.35">
      <c r="A27" s="61" t="s">
        <v>42</v>
      </c>
      <c r="B27" s="69">
        <v>4</v>
      </c>
      <c r="C27" s="69">
        <v>24</v>
      </c>
      <c r="D27" s="69">
        <v>1</v>
      </c>
      <c r="E27" s="69">
        <v>9</v>
      </c>
      <c r="F27" s="69">
        <v>2</v>
      </c>
      <c r="G27" s="69">
        <v>8</v>
      </c>
      <c r="H27" s="69">
        <v>1</v>
      </c>
      <c r="I27" s="69">
        <v>14</v>
      </c>
      <c r="J27" s="69">
        <v>0</v>
      </c>
      <c r="K27" s="69">
        <v>10</v>
      </c>
      <c r="L27"/>
      <c r="M27"/>
      <c r="N27"/>
      <c r="O27"/>
    </row>
    <row r="28" spans="1:20" ht="15.5" x14ac:dyDescent="0.35">
      <c r="A28" s="61" t="s">
        <v>43</v>
      </c>
      <c r="B28" s="69">
        <v>3</v>
      </c>
      <c r="C28" s="69">
        <v>91</v>
      </c>
      <c r="D28" s="69">
        <v>10</v>
      </c>
      <c r="E28" s="69">
        <v>80</v>
      </c>
      <c r="F28" s="69">
        <v>9</v>
      </c>
      <c r="G28" s="69">
        <v>73</v>
      </c>
      <c r="H28" s="69">
        <v>5</v>
      </c>
      <c r="I28" s="69">
        <v>70</v>
      </c>
      <c r="J28" s="69">
        <v>5</v>
      </c>
      <c r="K28" s="69">
        <v>75</v>
      </c>
      <c r="L28"/>
      <c r="M28"/>
      <c r="N28"/>
      <c r="O28"/>
    </row>
    <row r="29" spans="1:20" ht="15.5" x14ac:dyDescent="0.35">
      <c r="A29" s="61" t="s">
        <v>44</v>
      </c>
      <c r="B29" s="69">
        <v>20</v>
      </c>
      <c r="C29" s="69">
        <v>183</v>
      </c>
      <c r="D29" s="69">
        <v>19</v>
      </c>
      <c r="E29" s="69">
        <v>189</v>
      </c>
      <c r="F29" s="69">
        <v>13</v>
      </c>
      <c r="G29" s="69">
        <v>183</v>
      </c>
      <c r="H29" s="69">
        <v>13</v>
      </c>
      <c r="I29" s="69">
        <v>201</v>
      </c>
      <c r="J29" s="69">
        <v>21</v>
      </c>
      <c r="K29" s="69">
        <v>212</v>
      </c>
      <c r="L29"/>
      <c r="M29"/>
      <c r="N29"/>
      <c r="O29"/>
    </row>
    <row r="30" spans="1:20" ht="15.5" x14ac:dyDescent="0.35">
      <c r="A30" s="61" t="s">
        <v>45</v>
      </c>
      <c r="B30" s="69">
        <v>0</v>
      </c>
      <c r="C30" s="69">
        <v>8</v>
      </c>
      <c r="D30" s="69">
        <v>0</v>
      </c>
      <c r="E30" s="69">
        <v>6</v>
      </c>
      <c r="F30" s="69">
        <v>0</v>
      </c>
      <c r="G30" s="69">
        <v>4</v>
      </c>
      <c r="H30" s="69">
        <v>1</v>
      </c>
      <c r="I30" s="69">
        <v>8</v>
      </c>
      <c r="J30" s="69">
        <v>1</v>
      </c>
      <c r="K30" s="69">
        <v>8</v>
      </c>
      <c r="L30"/>
      <c r="M30"/>
      <c r="N30"/>
      <c r="O30"/>
    </row>
    <row r="31" spans="1:20" ht="15.5" x14ac:dyDescent="0.35">
      <c r="A31" s="61" t="s">
        <v>46</v>
      </c>
      <c r="B31" s="69">
        <v>3</v>
      </c>
      <c r="C31" s="69">
        <v>16</v>
      </c>
      <c r="D31" s="69">
        <v>1</v>
      </c>
      <c r="E31" s="69">
        <v>15</v>
      </c>
      <c r="F31" s="69">
        <v>2</v>
      </c>
      <c r="G31" s="69">
        <v>7</v>
      </c>
      <c r="H31" s="69">
        <v>1</v>
      </c>
      <c r="I31" s="69">
        <v>6</v>
      </c>
      <c r="J31" s="69">
        <v>1</v>
      </c>
      <c r="K31" s="69">
        <v>7</v>
      </c>
      <c r="L31"/>
      <c r="M31"/>
      <c r="N31"/>
      <c r="O31"/>
    </row>
    <row r="32" spans="1:20" ht="15.5" x14ac:dyDescent="0.35">
      <c r="A32" s="61" t="s">
        <v>47</v>
      </c>
      <c r="B32" s="69">
        <v>19</v>
      </c>
      <c r="C32" s="69">
        <v>237</v>
      </c>
      <c r="D32" s="69">
        <v>19</v>
      </c>
      <c r="E32" s="69">
        <v>266</v>
      </c>
      <c r="F32" s="69">
        <v>14</v>
      </c>
      <c r="G32" s="69">
        <v>287</v>
      </c>
      <c r="H32" s="69">
        <v>26</v>
      </c>
      <c r="I32" s="69">
        <v>205</v>
      </c>
      <c r="J32" s="69">
        <v>19</v>
      </c>
      <c r="K32" s="69">
        <v>242</v>
      </c>
      <c r="L32"/>
      <c r="M32"/>
      <c r="N32"/>
      <c r="O32"/>
    </row>
    <row r="33" spans="1:15" ht="15.5" x14ac:dyDescent="0.35">
      <c r="A33" s="61" t="s">
        <v>48</v>
      </c>
      <c r="B33" s="69">
        <v>3</v>
      </c>
      <c r="C33" s="69">
        <v>90</v>
      </c>
      <c r="D33" s="69">
        <v>2</v>
      </c>
      <c r="E33" s="69">
        <v>124</v>
      </c>
      <c r="F33" s="69">
        <v>5</v>
      </c>
      <c r="G33" s="69">
        <v>100</v>
      </c>
      <c r="H33" s="69">
        <v>7</v>
      </c>
      <c r="I33" s="69">
        <v>89</v>
      </c>
      <c r="J33" s="69">
        <v>2</v>
      </c>
      <c r="K33" s="69">
        <v>99</v>
      </c>
      <c r="L33"/>
      <c r="M33"/>
      <c r="N33"/>
      <c r="O33"/>
    </row>
    <row r="34" spans="1:15" ht="15.5" x14ac:dyDescent="0.35">
      <c r="A34" s="61" t="s">
        <v>49</v>
      </c>
      <c r="B34" s="69">
        <v>5</v>
      </c>
      <c r="C34" s="69">
        <v>74</v>
      </c>
      <c r="D34" s="69">
        <v>5</v>
      </c>
      <c r="E34" s="69">
        <v>66</v>
      </c>
      <c r="F34" s="69">
        <v>2</v>
      </c>
      <c r="G34" s="69">
        <v>71</v>
      </c>
      <c r="H34" s="69">
        <v>6</v>
      </c>
      <c r="I34" s="69">
        <v>58</v>
      </c>
      <c r="J34" s="69">
        <v>4</v>
      </c>
      <c r="K34" s="69">
        <v>88</v>
      </c>
      <c r="L34"/>
      <c r="M34"/>
      <c r="N34"/>
      <c r="O34"/>
    </row>
    <row r="35" spans="1:15" ht="15.5" x14ac:dyDescent="0.35">
      <c r="A35" s="61" t="s">
        <v>50</v>
      </c>
      <c r="B35" s="69">
        <v>62</v>
      </c>
      <c r="C35" s="69">
        <v>1287</v>
      </c>
      <c r="D35" s="69">
        <v>62</v>
      </c>
      <c r="E35" s="69">
        <v>1188</v>
      </c>
      <c r="F35" s="69">
        <v>61</v>
      </c>
      <c r="G35" s="69">
        <v>1138</v>
      </c>
      <c r="H35" s="69">
        <v>66</v>
      </c>
      <c r="I35" s="69">
        <v>885</v>
      </c>
      <c r="J35" s="69">
        <v>73</v>
      </c>
      <c r="K35" s="69">
        <v>1358</v>
      </c>
      <c r="L35"/>
      <c r="M35"/>
      <c r="N35"/>
      <c r="O35"/>
    </row>
    <row r="36" spans="1:15" ht="15.5" x14ac:dyDescent="0.35">
      <c r="A36" s="61" t="s">
        <v>51</v>
      </c>
      <c r="B36" s="69">
        <v>12</v>
      </c>
      <c r="C36" s="69">
        <v>130</v>
      </c>
      <c r="D36" s="69">
        <v>3</v>
      </c>
      <c r="E36" s="69">
        <v>167</v>
      </c>
      <c r="F36" s="69">
        <v>7</v>
      </c>
      <c r="G36" s="69">
        <v>180</v>
      </c>
      <c r="H36" s="69">
        <v>7</v>
      </c>
      <c r="I36" s="69">
        <v>187</v>
      </c>
      <c r="J36" s="69">
        <v>9</v>
      </c>
      <c r="K36" s="69">
        <v>219</v>
      </c>
      <c r="L36"/>
      <c r="M36"/>
      <c r="N36"/>
      <c r="O36"/>
    </row>
    <row r="37" spans="1:15" ht="15.5" x14ac:dyDescent="0.35">
      <c r="A37" s="61" t="s">
        <v>52</v>
      </c>
      <c r="B37" s="69">
        <v>3</v>
      </c>
      <c r="C37" s="69">
        <v>18</v>
      </c>
      <c r="D37" s="69">
        <v>1</v>
      </c>
      <c r="E37" s="69">
        <v>27</v>
      </c>
      <c r="F37" s="69">
        <v>1</v>
      </c>
      <c r="G37" s="69">
        <v>30</v>
      </c>
      <c r="H37" s="69">
        <v>1</v>
      </c>
      <c r="I37" s="69">
        <v>17</v>
      </c>
      <c r="J37" s="69">
        <v>1</v>
      </c>
      <c r="K37" s="69">
        <v>22</v>
      </c>
      <c r="L37"/>
      <c r="M37"/>
      <c r="N37"/>
      <c r="O37"/>
    </row>
    <row r="38" spans="1:15" ht="15.5" x14ac:dyDescent="0.35">
      <c r="A38" s="61" t="s">
        <v>53</v>
      </c>
      <c r="B38" s="69">
        <v>108</v>
      </c>
      <c r="C38" s="69">
        <v>1139</v>
      </c>
      <c r="D38" s="69">
        <v>110</v>
      </c>
      <c r="E38" s="69">
        <v>1088</v>
      </c>
      <c r="F38" s="69">
        <v>101</v>
      </c>
      <c r="G38" s="69">
        <v>1077</v>
      </c>
      <c r="H38" s="69">
        <v>111</v>
      </c>
      <c r="I38" s="69">
        <v>939</v>
      </c>
      <c r="J38" s="69">
        <v>100</v>
      </c>
      <c r="K38" s="69">
        <v>1307</v>
      </c>
      <c r="L38"/>
      <c r="M38"/>
      <c r="N38"/>
      <c r="O38"/>
    </row>
    <row r="39" spans="1:15" ht="15.5" x14ac:dyDescent="0.35">
      <c r="A39" s="61" t="s">
        <v>54</v>
      </c>
      <c r="B39" s="69">
        <v>48</v>
      </c>
      <c r="C39" s="69">
        <v>817</v>
      </c>
      <c r="D39" s="69">
        <v>37</v>
      </c>
      <c r="E39" s="69">
        <v>886</v>
      </c>
      <c r="F39" s="69">
        <v>48</v>
      </c>
      <c r="G39" s="69">
        <v>819</v>
      </c>
      <c r="H39" s="69">
        <v>35</v>
      </c>
      <c r="I39" s="69">
        <v>774</v>
      </c>
      <c r="J39" s="69">
        <v>58</v>
      </c>
      <c r="K39" s="69">
        <v>915</v>
      </c>
      <c r="L39"/>
      <c r="M39"/>
      <c r="N39"/>
      <c r="O39"/>
    </row>
    <row r="40" spans="1:15" ht="15.5" x14ac:dyDescent="0.35">
      <c r="A40" s="61" t="s">
        <v>55</v>
      </c>
      <c r="B40" s="69">
        <v>1</v>
      </c>
      <c r="C40" s="69">
        <v>31</v>
      </c>
      <c r="D40" s="69">
        <v>3</v>
      </c>
      <c r="E40" s="69">
        <v>42</v>
      </c>
      <c r="F40" s="69">
        <v>4</v>
      </c>
      <c r="G40" s="69">
        <v>28</v>
      </c>
      <c r="H40" s="69">
        <v>4</v>
      </c>
      <c r="I40" s="69">
        <v>29</v>
      </c>
      <c r="J40" s="69">
        <v>2</v>
      </c>
      <c r="K40" s="69">
        <v>42</v>
      </c>
      <c r="L40"/>
      <c r="M40"/>
      <c r="N40"/>
      <c r="O40"/>
    </row>
    <row r="41" spans="1:15" ht="15.5" x14ac:dyDescent="0.35">
      <c r="A41" s="61" t="s">
        <v>56</v>
      </c>
      <c r="B41" s="69">
        <v>95</v>
      </c>
      <c r="C41" s="69">
        <v>1025</v>
      </c>
      <c r="D41" s="69">
        <v>80</v>
      </c>
      <c r="E41" s="69">
        <v>1154</v>
      </c>
      <c r="F41" s="69">
        <v>96</v>
      </c>
      <c r="G41" s="69">
        <v>1156</v>
      </c>
      <c r="H41" s="69">
        <v>81</v>
      </c>
      <c r="I41" s="69">
        <v>1037</v>
      </c>
      <c r="J41" s="69">
        <v>112</v>
      </c>
      <c r="K41" s="69">
        <v>1248</v>
      </c>
      <c r="L41"/>
      <c r="M41"/>
      <c r="N41"/>
      <c r="O41"/>
    </row>
    <row r="42" spans="1:15" ht="15.5" x14ac:dyDescent="0.35">
      <c r="A42" s="61" t="s">
        <v>57</v>
      </c>
      <c r="B42" s="69">
        <v>75</v>
      </c>
      <c r="C42" s="69">
        <v>1653</v>
      </c>
      <c r="D42" s="69">
        <v>80</v>
      </c>
      <c r="E42" s="69">
        <v>1684</v>
      </c>
      <c r="F42" s="69">
        <v>80</v>
      </c>
      <c r="G42" s="69">
        <v>1714</v>
      </c>
      <c r="H42" s="69">
        <v>89</v>
      </c>
      <c r="I42" s="69">
        <v>1538</v>
      </c>
      <c r="J42" s="69">
        <v>102</v>
      </c>
      <c r="K42" s="69">
        <v>1943</v>
      </c>
      <c r="L42"/>
      <c r="M42"/>
      <c r="N42"/>
      <c r="O42"/>
    </row>
    <row r="43" spans="1:15" ht="15.5" x14ac:dyDescent="0.35">
      <c r="A43" s="61" t="s">
        <v>58</v>
      </c>
      <c r="B43" s="69">
        <v>1</v>
      </c>
      <c r="C43" s="69">
        <v>349</v>
      </c>
      <c r="D43" s="69">
        <v>4</v>
      </c>
      <c r="E43" s="69">
        <v>322</v>
      </c>
      <c r="F43" s="69">
        <v>4</v>
      </c>
      <c r="G43" s="69">
        <v>359</v>
      </c>
      <c r="H43" s="69">
        <v>4</v>
      </c>
      <c r="I43" s="69">
        <v>265</v>
      </c>
      <c r="J43" s="69">
        <v>7</v>
      </c>
      <c r="K43" s="69">
        <v>316</v>
      </c>
      <c r="L43"/>
      <c r="M43"/>
      <c r="N43"/>
      <c r="O43"/>
    </row>
    <row r="44" spans="1:15" ht="15.5" x14ac:dyDescent="0.35">
      <c r="A44" s="61" t="s">
        <v>59</v>
      </c>
      <c r="B44" s="69">
        <v>39</v>
      </c>
      <c r="C44" s="69">
        <v>405</v>
      </c>
      <c r="D44" s="69">
        <v>35</v>
      </c>
      <c r="E44" s="69">
        <v>423</v>
      </c>
      <c r="F44" s="69">
        <v>31</v>
      </c>
      <c r="G44" s="69">
        <v>478</v>
      </c>
      <c r="H44" s="69">
        <v>54</v>
      </c>
      <c r="I44" s="69">
        <v>436</v>
      </c>
      <c r="J44" s="69">
        <v>44</v>
      </c>
      <c r="K44" s="69">
        <v>472</v>
      </c>
      <c r="L44"/>
      <c r="M44"/>
      <c r="N44"/>
      <c r="O44"/>
    </row>
    <row r="45" spans="1:15" ht="15.5" x14ac:dyDescent="0.35">
      <c r="A45" s="61" t="s">
        <v>60</v>
      </c>
      <c r="B45" s="69">
        <v>17</v>
      </c>
      <c r="C45" s="69">
        <v>160</v>
      </c>
      <c r="D45" s="69">
        <v>11</v>
      </c>
      <c r="E45" s="69">
        <v>141</v>
      </c>
      <c r="F45" s="69">
        <v>11</v>
      </c>
      <c r="G45" s="69">
        <v>137</v>
      </c>
      <c r="H45" s="69">
        <v>5</v>
      </c>
      <c r="I45" s="69">
        <v>121</v>
      </c>
      <c r="J45" s="69">
        <v>9</v>
      </c>
      <c r="K45" s="69">
        <v>169</v>
      </c>
      <c r="L45"/>
      <c r="M45"/>
      <c r="N45"/>
      <c r="O45"/>
    </row>
    <row r="46" spans="1:15" ht="15.5" x14ac:dyDescent="0.35">
      <c r="A46" s="61" t="s">
        <v>61</v>
      </c>
      <c r="B46" s="69">
        <v>11</v>
      </c>
      <c r="C46" s="69">
        <v>291</v>
      </c>
      <c r="D46" s="69">
        <v>7</v>
      </c>
      <c r="E46" s="69">
        <v>319</v>
      </c>
      <c r="F46" s="69">
        <v>5</v>
      </c>
      <c r="G46" s="69">
        <v>305</v>
      </c>
      <c r="H46" s="69">
        <v>12</v>
      </c>
      <c r="I46" s="69">
        <v>219</v>
      </c>
      <c r="J46" s="69">
        <v>7</v>
      </c>
      <c r="K46" s="69">
        <v>229</v>
      </c>
      <c r="L46"/>
      <c r="M46"/>
      <c r="N46"/>
      <c r="O46"/>
    </row>
    <row r="47" spans="1:15" ht="15.5" x14ac:dyDescent="0.35">
      <c r="A47" s="61" t="s">
        <v>62</v>
      </c>
      <c r="B47" s="69">
        <v>10</v>
      </c>
      <c r="C47" s="69">
        <v>242</v>
      </c>
      <c r="D47" s="69">
        <v>6</v>
      </c>
      <c r="E47" s="69">
        <v>201</v>
      </c>
      <c r="F47" s="69">
        <v>9</v>
      </c>
      <c r="G47" s="69">
        <v>246</v>
      </c>
      <c r="H47" s="69">
        <v>10</v>
      </c>
      <c r="I47" s="69">
        <v>210</v>
      </c>
      <c r="J47" s="69">
        <v>12</v>
      </c>
      <c r="K47" s="69">
        <v>283</v>
      </c>
      <c r="L47"/>
      <c r="M47"/>
      <c r="N47"/>
      <c r="O47"/>
    </row>
    <row r="48" spans="1:15" ht="15.5" x14ac:dyDescent="0.35">
      <c r="A48" s="61" t="s">
        <v>63</v>
      </c>
      <c r="B48" s="69">
        <v>39</v>
      </c>
      <c r="C48" s="69">
        <v>686</v>
      </c>
      <c r="D48" s="69">
        <v>29</v>
      </c>
      <c r="E48" s="69">
        <v>769</v>
      </c>
      <c r="F48" s="69">
        <v>34</v>
      </c>
      <c r="G48" s="69">
        <v>769</v>
      </c>
      <c r="H48" s="69">
        <v>28</v>
      </c>
      <c r="I48" s="69">
        <v>574</v>
      </c>
      <c r="J48" s="69">
        <v>39</v>
      </c>
      <c r="K48" s="69">
        <v>698</v>
      </c>
      <c r="L48"/>
      <c r="M48"/>
      <c r="N48"/>
      <c r="O48"/>
    </row>
    <row r="49" spans="1:15" ht="15.5" x14ac:dyDescent="0.35">
      <c r="A49" s="61" t="s">
        <v>64</v>
      </c>
      <c r="B49" s="69">
        <v>7</v>
      </c>
      <c r="C49" s="69">
        <v>192</v>
      </c>
      <c r="D49" s="69">
        <v>10</v>
      </c>
      <c r="E49" s="69">
        <v>184</v>
      </c>
      <c r="F49" s="69">
        <v>7</v>
      </c>
      <c r="G49" s="69">
        <v>206</v>
      </c>
      <c r="H49" s="69">
        <v>7</v>
      </c>
      <c r="I49" s="69">
        <v>156</v>
      </c>
      <c r="J49" s="69">
        <v>11</v>
      </c>
      <c r="K49" s="69">
        <v>183</v>
      </c>
      <c r="L49"/>
      <c r="M49"/>
      <c r="N49"/>
      <c r="O49"/>
    </row>
    <row r="50" spans="1:15" ht="15.5" x14ac:dyDescent="0.35">
      <c r="A50" s="61" t="s">
        <v>65</v>
      </c>
      <c r="B50" s="69">
        <v>8</v>
      </c>
      <c r="C50" s="69">
        <v>117</v>
      </c>
      <c r="D50" s="69">
        <v>8</v>
      </c>
      <c r="E50" s="69">
        <v>98</v>
      </c>
      <c r="F50" s="69">
        <v>12</v>
      </c>
      <c r="G50" s="69">
        <v>87</v>
      </c>
      <c r="H50" s="69">
        <v>12</v>
      </c>
      <c r="I50" s="69">
        <v>109</v>
      </c>
      <c r="J50" s="69">
        <v>10</v>
      </c>
      <c r="K50" s="69">
        <v>125</v>
      </c>
      <c r="L50"/>
      <c r="M50"/>
      <c r="N50"/>
      <c r="O50"/>
    </row>
    <row r="51" spans="1:15" ht="15.5" x14ac:dyDescent="0.35">
      <c r="A51" s="61" t="s">
        <v>66</v>
      </c>
      <c r="B51" s="69">
        <v>0</v>
      </c>
      <c r="C51" s="69">
        <v>3</v>
      </c>
      <c r="D51" s="69">
        <v>0</v>
      </c>
      <c r="E51" s="69">
        <v>3</v>
      </c>
      <c r="F51" s="69">
        <v>0</v>
      </c>
      <c r="G51" s="69">
        <v>7</v>
      </c>
      <c r="H51" s="69">
        <v>1</v>
      </c>
      <c r="I51" s="69">
        <v>8</v>
      </c>
      <c r="J51" s="69">
        <v>0</v>
      </c>
      <c r="K51" s="69">
        <v>1</v>
      </c>
      <c r="L51"/>
      <c r="M51"/>
      <c r="N51"/>
      <c r="O51"/>
    </row>
    <row r="52" spans="1:15" ht="15.5" x14ac:dyDescent="0.35">
      <c r="A52" s="61" t="s">
        <v>67</v>
      </c>
      <c r="B52" s="69">
        <v>6</v>
      </c>
      <c r="C52" s="69">
        <v>37</v>
      </c>
      <c r="D52" s="69">
        <v>6</v>
      </c>
      <c r="E52" s="69">
        <v>27</v>
      </c>
      <c r="F52" s="69">
        <v>1</v>
      </c>
      <c r="G52" s="69">
        <v>32</v>
      </c>
      <c r="H52" s="69">
        <v>1</v>
      </c>
      <c r="I52" s="69">
        <v>48</v>
      </c>
      <c r="J52" s="69">
        <v>8</v>
      </c>
      <c r="K52" s="69">
        <v>37</v>
      </c>
      <c r="L52"/>
      <c r="M52"/>
      <c r="N52"/>
      <c r="O52"/>
    </row>
    <row r="53" spans="1:15" ht="15.5" x14ac:dyDescent="0.35">
      <c r="A53" s="61" t="s">
        <v>68</v>
      </c>
      <c r="B53" s="69">
        <v>15</v>
      </c>
      <c r="C53" s="69">
        <v>232</v>
      </c>
      <c r="D53" s="69">
        <v>24</v>
      </c>
      <c r="E53" s="69">
        <v>221</v>
      </c>
      <c r="F53" s="69">
        <v>12</v>
      </c>
      <c r="G53" s="69">
        <v>169</v>
      </c>
      <c r="H53" s="69">
        <v>8</v>
      </c>
      <c r="I53" s="69">
        <v>172</v>
      </c>
      <c r="J53" s="69">
        <v>10</v>
      </c>
      <c r="K53" s="69">
        <v>257</v>
      </c>
      <c r="L53"/>
      <c r="M53"/>
      <c r="N53"/>
      <c r="O53"/>
    </row>
    <row r="54" spans="1:15" ht="15.5" x14ac:dyDescent="0.35">
      <c r="A54" s="61" t="s">
        <v>69</v>
      </c>
      <c r="B54" s="69">
        <v>17</v>
      </c>
      <c r="C54" s="69">
        <v>288</v>
      </c>
      <c r="D54" s="69">
        <v>10</v>
      </c>
      <c r="E54" s="69">
        <v>325</v>
      </c>
      <c r="F54" s="69">
        <v>11</v>
      </c>
      <c r="G54" s="69">
        <v>308</v>
      </c>
      <c r="H54" s="69">
        <v>6</v>
      </c>
      <c r="I54" s="69">
        <v>260</v>
      </c>
      <c r="J54" s="69">
        <v>18</v>
      </c>
      <c r="K54" s="69">
        <v>275</v>
      </c>
      <c r="L54"/>
      <c r="M54"/>
      <c r="N54"/>
      <c r="O54"/>
    </row>
    <row r="55" spans="1:15" ht="15.5" x14ac:dyDescent="0.35">
      <c r="A55" s="61" t="s">
        <v>70</v>
      </c>
      <c r="B55" s="69">
        <v>27</v>
      </c>
      <c r="C55" s="69">
        <v>367</v>
      </c>
      <c r="D55" s="69">
        <v>33</v>
      </c>
      <c r="E55" s="69">
        <v>348</v>
      </c>
      <c r="F55" s="69">
        <v>23</v>
      </c>
      <c r="G55" s="69">
        <v>362</v>
      </c>
      <c r="H55" s="69">
        <v>26</v>
      </c>
      <c r="I55" s="69">
        <v>336</v>
      </c>
      <c r="J55" s="69">
        <v>42</v>
      </c>
      <c r="K55" s="69">
        <v>432</v>
      </c>
      <c r="L55"/>
      <c r="M55"/>
      <c r="N55"/>
      <c r="O55"/>
    </row>
    <row r="56" spans="1:15" ht="15.5" x14ac:dyDescent="0.35">
      <c r="A56" s="61" t="s">
        <v>71</v>
      </c>
      <c r="B56" s="69">
        <v>4</v>
      </c>
      <c r="C56" s="69">
        <v>67</v>
      </c>
      <c r="D56" s="69">
        <v>5</v>
      </c>
      <c r="E56" s="69">
        <v>72</v>
      </c>
      <c r="F56" s="69">
        <v>6</v>
      </c>
      <c r="G56" s="69">
        <v>54</v>
      </c>
      <c r="H56" s="69">
        <v>5</v>
      </c>
      <c r="I56" s="69">
        <v>59</v>
      </c>
      <c r="J56" s="69">
        <v>5</v>
      </c>
      <c r="K56" s="69">
        <v>78</v>
      </c>
      <c r="L56"/>
      <c r="M56"/>
      <c r="N56"/>
      <c r="O56"/>
    </row>
    <row r="57" spans="1:15" ht="15.5" x14ac:dyDescent="0.35">
      <c r="A57" s="61" t="s">
        <v>72</v>
      </c>
      <c r="B57" s="69">
        <v>4</v>
      </c>
      <c r="C57" s="69">
        <v>46</v>
      </c>
      <c r="D57" s="69">
        <v>5</v>
      </c>
      <c r="E57" s="69">
        <v>39</v>
      </c>
      <c r="F57" s="69">
        <v>6</v>
      </c>
      <c r="G57" s="69">
        <v>45</v>
      </c>
      <c r="H57" s="69">
        <v>9</v>
      </c>
      <c r="I57" s="69">
        <v>37</v>
      </c>
      <c r="J57" s="69">
        <v>4</v>
      </c>
      <c r="K57" s="69">
        <v>43</v>
      </c>
      <c r="L57"/>
      <c r="M57"/>
      <c r="N57"/>
      <c r="O57"/>
    </row>
    <row r="58" spans="1:15" ht="15.5" x14ac:dyDescent="0.35">
      <c r="A58" s="61" t="s">
        <v>73</v>
      </c>
      <c r="B58" s="69">
        <v>2</v>
      </c>
      <c r="C58" s="69">
        <v>21</v>
      </c>
      <c r="D58" s="69">
        <v>3</v>
      </c>
      <c r="E58" s="69">
        <v>14</v>
      </c>
      <c r="F58" s="69">
        <v>3</v>
      </c>
      <c r="G58" s="69">
        <v>14</v>
      </c>
      <c r="H58" s="69">
        <v>2</v>
      </c>
      <c r="I58" s="69">
        <v>13</v>
      </c>
      <c r="J58" s="69">
        <v>8</v>
      </c>
      <c r="K58" s="69">
        <v>17</v>
      </c>
      <c r="L58"/>
      <c r="M58"/>
      <c r="N58"/>
      <c r="O58"/>
    </row>
    <row r="59" spans="1:15" ht="15.5" x14ac:dyDescent="0.35">
      <c r="A59" s="61" t="s">
        <v>74</v>
      </c>
      <c r="B59" s="69">
        <v>31</v>
      </c>
      <c r="C59" s="69">
        <v>199</v>
      </c>
      <c r="D59" s="69">
        <v>20</v>
      </c>
      <c r="E59" s="69">
        <v>230</v>
      </c>
      <c r="F59" s="69">
        <v>19</v>
      </c>
      <c r="G59" s="69">
        <v>240</v>
      </c>
      <c r="H59" s="69">
        <v>35</v>
      </c>
      <c r="I59" s="69">
        <v>225</v>
      </c>
      <c r="J59" s="69">
        <v>30</v>
      </c>
      <c r="K59" s="69">
        <v>275</v>
      </c>
      <c r="L59"/>
      <c r="M59"/>
      <c r="N59"/>
      <c r="O59"/>
    </row>
    <row r="60" spans="1:15" ht="15.5" x14ac:dyDescent="0.35">
      <c r="A60" s="61" t="s">
        <v>75</v>
      </c>
      <c r="B60" s="69">
        <v>3</v>
      </c>
      <c r="C60" s="69">
        <v>51</v>
      </c>
      <c r="D60" s="69">
        <v>4</v>
      </c>
      <c r="E60" s="69">
        <v>44</v>
      </c>
      <c r="F60" s="69">
        <v>5</v>
      </c>
      <c r="G60" s="69">
        <v>65</v>
      </c>
      <c r="H60" s="69">
        <v>2</v>
      </c>
      <c r="I60" s="69">
        <v>64</v>
      </c>
      <c r="J60" s="69">
        <v>6</v>
      </c>
      <c r="K60" s="69">
        <v>46</v>
      </c>
      <c r="L60"/>
      <c r="M60"/>
      <c r="N60"/>
      <c r="O60"/>
    </row>
    <row r="61" spans="1:15" ht="15.5" x14ac:dyDescent="0.35">
      <c r="A61" s="61" t="s">
        <v>76</v>
      </c>
      <c r="B61" s="69">
        <v>23</v>
      </c>
      <c r="C61" s="69">
        <v>376</v>
      </c>
      <c r="D61" s="69">
        <v>23</v>
      </c>
      <c r="E61" s="69">
        <v>366</v>
      </c>
      <c r="F61" s="69">
        <v>13</v>
      </c>
      <c r="G61" s="69">
        <v>404</v>
      </c>
      <c r="H61" s="69">
        <v>26</v>
      </c>
      <c r="I61" s="69">
        <v>331</v>
      </c>
      <c r="J61" s="69">
        <v>21</v>
      </c>
      <c r="K61" s="69">
        <v>411</v>
      </c>
      <c r="L61"/>
      <c r="M61"/>
      <c r="N61"/>
      <c r="O61"/>
    </row>
    <row r="62" spans="1:15" ht="15.5" x14ac:dyDescent="0.35">
      <c r="A62" s="61" t="s">
        <v>77</v>
      </c>
      <c r="B62" s="69">
        <v>6</v>
      </c>
      <c r="C62" s="69">
        <v>103</v>
      </c>
      <c r="D62" s="69">
        <v>8</v>
      </c>
      <c r="E62" s="69">
        <v>100</v>
      </c>
      <c r="F62" s="69">
        <v>8</v>
      </c>
      <c r="G62" s="69">
        <v>91</v>
      </c>
      <c r="H62" s="69">
        <v>10</v>
      </c>
      <c r="I62" s="69">
        <v>87</v>
      </c>
      <c r="J62" s="69">
        <v>10</v>
      </c>
      <c r="K62" s="69">
        <v>131</v>
      </c>
      <c r="L62"/>
      <c r="M62"/>
      <c r="N62"/>
      <c r="O62"/>
    </row>
    <row r="63" spans="1:15" ht="15.5" x14ac:dyDescent="0.35">
      <c r="A63" s="61" t="s">
        <v>78</v>
      </c>
      <c r="B63" s="69">
        <v>4</v>
      </c>
      <c r="C63" s="69">
        <v>31</v>
      </c>
      <c r="D63" s="69">
        <v>3</v>
      </c>
      <c r="E63" s="69">
        <v>44</v>
      </c>
      <c r="F63" s="69">
        <v>3</v>
      </c>
      <c r="G63" s="69">
        <v>41</v>
      </c>
      <c r="H63" s="69">
        <v>1</v>
      </c>
      <c r="I63" s="69">
        <v>55</v>
      </c>
      <c r="J63" s="69">
        <v>3</v>
      </c>
      <c r="K63" s="69">
        <v>64</v>
      </c>
      <c r="L63"/>
      <c r="M63"/>
      <c r="N63"/>
      <c r="O63"/>
    </row>
    <row r="64" spans="1:15" ht="15.5" x14ac:dyDescent="0.35">
      <c r="A64" s="67" t="s">
        <v>276</v>
      </c>
      <c r="B64" s="69">
        <v>1167</v>
      </c>
      <c r="C64" s="69">
        <v>18569</v>
      </c>
      <c r="D64" s="69">
        <v>1093</v>
      </c>
      <c r="E64" s="69">
        <v>18919</v>
      </c>
      <c r="F64" s="69">
        <v>1087</v>
      </c>
      <c r="G64" s="69">
        <v>18880</v>
      </c>
      <c r="H64" s="69">
        <v>1143</v>
      </c>
      <c r="I64" s="69">
        <v>16364</v>
      </c>
      <c r="J64" s="69">
        <v>1220</v>
      </c>
      <c r="K64" s="69">
        <v>19786</v>
      </c>
      <c r="L64"/>
      <c r="M64"/>
      <c r="N64"/>
      <c r="O64"/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97CB-1DF8-4870-A01B-728CA9FF1CEF}">
  <dimension ref="A1:AO65"/>
  <sheetViews>
    <sheetView workbookViewId="0">
      <selection activeCell="A2" sqref="A2"/>
    </sheetView>
  </sheetViews>
  <sheetFormatPr defaultColWidth="9.1796875" defaultRowHeight="15" x14ac:dyDescent="0.3"/>
  <cols>
    <col min="1" max="1" width="17.81640625" style="1" bestFit="1" customWidth="1"/>
    <col min="2" max="11" width="9.453125" style="4" bestFit="1" customWidth="1"/>
    <col min="12" max="15" width="10.54296875" style="1" bestFit="1" customWidth="1"/>
    <col min="16" max="21" width="11.26953125" style="1" bestFit="1" customWidth="1"/>
    <col min="22" max="22" width="14" style="1" bestFit="1" customWidth="1"/>
    <col min="23" max="24" width="9.1796875" style="1"/>
    <col min="25" max="25" width="14" style="1" bestFit="1" customWidth="1"/>
    <col min="26" max="27" width="9.1796875" style="1"/>
    <col min="28" max="28" width="14" style="1" bestFit="1" customWidth="1"/>
    <col min="29" max="29" width="9.1796875" style="1" bestFit="1" customWidth="1"/>
    <col min="30" max="30" width="9.1796875" style="1"/>
    <col min="31" max="31" width="14" style="1" bestFit="1" customWidth="1"/>
    <col min="32" max="32" width="9.1796875" style="1"/>
    <col min="33" max="33" width="14" style="1" bestFit="1" customWidth="1"/>
    <col min="34" max="36" width="9.1796875" style="1"/>
    <col min="37" max="37" width="14" style="1" bestFit="1" customWidth="1"/>
    <col min="38" max="40" width="9.1796875" style="1"/>
    <col min="41" max="41" width="14" style="1" bestFit="1" customWidth="1"/>
    <col min="42" max="16384" width="9.1796875" style="1"/>
  </cols>
  <sheetData>
    <row r="1" spans="1:41" ht="17.5" x14ac:dyDescent="0.3">
      <c r="A1" s="3" t="str">
        <f>Parameters!$A$18</f>
        <v>TABLE 5D PERSONS KILLED AND INJURED IN ALCOHOL INVOLVED CRASHES BY COUNTY 2017-2021</v>
      </c>
    </row>
    <row r="3" spans="1:41" ht="15.5" x14ac:dyDescent="0.35">
      <c r="A3" s="52"/>
      <c r="B3" s="9" t="s">
        <v>20</v>
      </c>
      <c r="C3" s="53" t="s">
        <v>16</v>
      </c>
      <c r="D3" s="52"/>
      <c r="E3" s="52"/>
      <c r="F3" s="52"/>
      <c r="G3" s="52"/>
      <c r="H3" s="52"/>
      <c r="I3" s="52"/>
      <c r="J3" s="52"/>
      <c r="K3" s="52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ht="15.5" x14ac:dyDescent="0.35">
      <c r="A4" s="52"/>
      <c r="B4" s="57">
        <v>2017</v>
      </c>
      <c r="C4" s="57"/>
      <c r="D4" s="57">
        <v>2018</v>
      </c>
      <c r="E4" s="57"/>
      <c r="F4" s="57">
        <v>2019</v>
      </c>
      <c r="G4" s="57"/>
      <c r="H4" s="57">
        <v>2020</v>
      </c>
      <c r="I4" s="57"/>
      <c r="J4" s="57">
        <v>2021</v>
      </c>
      <c r="K4" s="57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ht="15.5" x14ac:dyDescent="0.35">
      <c r="A5" s="56" t="s">
        <v>277</v>
      </c>
      <c r="B5" s="47" t="s">
        <v>18</v>
      </c>
      <c r="C5" s="47" t="s">
        <v>19</v>
      </c>
      <c r="D5" s="47" t="s">
        <v>18</v>
      </c>
      <c r="E5" s="47" t="s">
        <v>19</v>
      </c>
      <c r="F5" s="47" t="s">
        <v>18</v>
      </c>
      <c r="G5" s="47" t="s">
        <v>19</v>
      </c>
      <c r="H5" s="47" t="s">
        <v>18</v>
      </c>
      <c r="I5" s="47" t="s">
        <v>19</v>
      </c>
      <c r="J5" s="47" t="s">
        <v>18</v>
      </c>
      <c r="K5" s="47" t="s">
        <v>19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ht="15.5" x14ac:dyDescent="0.35">
      <c r="A6" s="52" t="s">
        <v>21</v>
      </c>
      <c r="B6" s="54">
        <v>34</v>
      </c>
      <c r="C6" s="54">
        <v>922</v>
      </c>
      <c r="D6" s="54">
        <v>24</v>
      </c>
      <c r="E6" s="54">
        <v>926</v>
      </c>
      <c r="F6" s="54">
        <v>29</v>
      </c>
      <c r="G6" s="54">
        <v>878</v>
      </c>
      <c r="H6" s="54">
        <v>29</v>
      </c>
      <c r="I6" s="54">
        <v>660</v>
      </c>
      <c r="J6" s="54">
        <v>34</v>
      </c>
      <c r="K6" s="54">
        <v>867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15.5" x14ac:dyDescent="0.35">
      <c r="A7" s="52" t="s">
        <v>22</v>
      </c>
      <c r="B7" s="54">
        <v>2</v>
      </c>
      <c r="C7" s="54">
        <v>13</v>
      </c>
      <c r="D7" s="54">
        <v>1</v>
      </c>
      <c r="E7" s="54">
        <v>4</v>
      </c>
      <c r="F7" s="54">
        <v>0</v>
      </c>
      <c r="G7" s="54">
        <v>4</v>
      </c>
      <c r="H7" s="54">
        <v>0</v>
      </c>
      <c r="I7" s="54">
        <v>2</v>
      </c>
      <c r="J7" s="54">
        <v>0</v>
      </c>
      <c r="K7" s="54">
        <v>4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ht="15.5" x14ac:dyDescent="0.35">
      <c r="A8" s="52" t="s">
        <v>23</v>
      </c>
      <c r="B8" s="54">
        <v>5</v>
      </c>
      <c r="C8" s="54">
        <v>61</v>
      </c>
      <c r="D8" s="54">
        <v>4</v>
      </c>
      <c r="E8" s="54">
        <v>46</v>
      </c>
      <c r="F8" s="54">
        <v>4</v>
      </c>
      <c r="G8" s="54">
        <v>55</v>
      </c>
      <c r="H8" s="54">
        <v>7</v>
      </c>
      <c r="I8" s="54">
        <v>43</v>
      </c>
      <c r="J8" s="54">
        <v>10</v>
      </c>
      <c r="K8" s="54">
        <v>54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ht="15.5" x14ac:dyDescent="0.35">
      <c r="A9" s="52" t="s">
        <v>24</v>
      </c>
      <c r="B9" s="54">
        <v>18</v>
      </c>
      <c r="C9" s="54">
        <v>171</v>
      </c>
      <c r="D9" s="54">
        <v>9</v>
      </c>
      <c r="E9" s="54">
        <v>188</v>
      </c>
      <c r="F9" s="54">
        <v>9</v>
      </c>
      <c r="G9" s="54">
        <v>183</v>
      </c>
      <c r="H9" s="54">
        <v>13</v>
      </c>
      <c r="I9" s="54">
        <v>160</v>
      </c>
      <c r="J9" s="54">
        <v>15</v>
      </c>
      <c r="K9" s="54">
        <v>193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5.5" x14ac:dyDescent="0.35">
      <c r="A10" s="52" t="s">
        <v>25</v>
      </c>
      <c r="B10" s="54">
        <v>5</v>
      </c>
      <c r="C10" s="54">
        <v>68</v>
      </c>
      <c r="D10" s="54">
        <v>5</v>
      </c>
      <c r="E10" s="54">
        <v>56</v>
      </c>
      <c r="F10" s="54">
        <v>5</v>
      </c>
      <c r="G10" s="54">
        <v>56</v>
      </c>
      <c r="H10" s="54">
        <v>2</v>
      </c>
      <c r="I10" s="54">
        <v>59</v>
      </c>
      <c r="J10" s="54">
        <v>5</v>
      </c>
      <c r="K10" s="54">
        <v>61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ht="15.5" x14ac:dyDescent="0.35">
      <c r="A11" s="52" t="s">
        <v>26</v>
      </c>
      <c r="B11" s="54">
        <v>3</v>
      </c>
      <c r="C11" s="54">
        <v>18</v>
      </c>
      <c r="D11" s="54">
        <v>1</v>
      </c>
      <c r="E11" s="54">
        <v>23</v>
      </c>
      <c r="F11" s="54">
        <v>1</v>
      </c>
      <c r="G11" s="54">
        <v>29</v>
      </c>
      <c r="H11" s="54">
        <v>2</v>
      </c>
      <c r="I11" s="54">
        <v>18</v>
      </c>
      <c r="J11" s="54">
        <v>4</v>
      </c>
      <c r="K11" s="54">
        <v>46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ht="15.5" x14ac:dyDescent="0.35">
      <c r="A12" s="52" t="s">
        <v>27</v>
      </c>
      <c r="B12" s="54">
        <v>24</v>
      </c>
      <c r="C12" s="54">
        <v>609</v>
      </c>
      <c r="D12" s="54">
        <v>32</v>
      </c>
      <c r="E12" s="54">
        <v>677</v>
      </c>
      <c r="F12" s="54">
        <v>30</v>
      </c>
      <c r="G12" s="54">
        <v>685</v>
      </c>
      <c r="H12" s="54">
        <v>30</v>
      </c>
      <c r="I12" s="54">
        <v>501</v>
      </c>
      <c r="J12" s="54">
        <v>32</v>
      </c>
      <c r="K12" s="54">
        <v>580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ht="15.5" x14ac:dyDescent="0.35">
      <c r="A13" s="52" t="s">
        <v>28</v>
      </c>
      <c r="B13" s="54">
        <v>4</v>
      </c>
      <c r="C13" s="54">
        <v>20</v>
      </c>
      <c r="D13" s="54">
        <v>2</v>
      </c>
      <c r="E13" s="54">
        <v>20</v>
      </c>
      <c r="F13" s="54">
        <v>1</v>
      </c>
      <c r="G13" s="54">
        <v>28</v>
      </c>
      <c r="H13" s="54">
        <v>2</v>
      </c>
      <c r="I13" s="54">
        <v>41</v>
      </c>
      <c r="J13" s="54">
        <v>0</v>
      </c>
      <c r="K13" s="54">
        <v>31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ht="15.5" x14ac:dyDescent="0.35">
      <c r="A14" s="52" t="s">
        <v>29</v>
      </c>
      <c r="B14" s="54">
        <v>4</v>
      </c>
      <c r="C14" s="54">
        <v>173</v>
      </c>
      <c r="D14" s="54">
        <v>7</v>
      </c>
      <c r="E14" s="54">
        <v>175</v>
      </c>
      <c r="F14" s="54">
        <v>11</v>
      </c>
      <c r="G14" s="54">
        <v>140</v>
      </c>
      <c r="H14" s="54">
        <v>11</v>
      </c>
      <c r="I14" s="54">
        <v>140</v>
      </c>
      <c r="J14" s="54">
        <v>14</v>
      </c>
      <c r="K14" s="54">
        <v>152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5.5" x14ac:dyDescent="0.35">
      <c r="A15" s="52" t="s">
        <v>30</v>
      </c>
      <c r="B15" s="54">
        <v>49</v>
      </c>
      <c r="C15" s="54">
        <v>444</v>
      </c>
      <c r="D15" s="54">
        <v>32</v>
      </c>
      <c r="E15" s="54">
        <v>491</v>
      </c>
      <c r="F15" s="54">
        <v>36</v>
      </c>
      <c r="G15" s="54">
        <v>494</v>
      </c>
      <c r="H15" s="54">
        <v>48</v>
      </c>
      <c r="I15" s="54">
        <v>545</v>
      </c>
      <c r="J15" s="54">
        <v>67</v>
      </c>
      <c r="K15" s="54">
        <v>730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ht="15.5" x14ac:dyDescent="0.35">
      <c r="A16" s="52" t="s">
        <v>31</v>
      </c>
      <c r="B16" s="54">
        <v>4</v>
      </c>
      <c r="C16" s="54">
        <v>36</v>
      </c>
      <c r="D16" s="54">
        <v>1</v>
      </c>
      <c r="E16" s="54">
        <v>26</v>
      </c>
      <c r="F16" s="54">
        <v>1</v>
      </c>
      <c r="G16" s="54">
        <v>20</v>
      </c>
      <c r="H16" s="54">
        <v>1</v>
      </c>
      <c r="I16" s="54">
        <v>25</v>
      </c>
      <c r="J16" s="54">
        <v>1</v>
      </c>
      <c r="K16" s="54">
        <v>26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ht="15.5" x14ac:dyDescent="0.35">
      <c r="A17" s="52" t="s">
        <v>32</v>
      </c>
      <c r="B17" s="54">
        <v>16</v>
      </c>
      <c r="C17" s="54">
        <v>146</v>
      </c>
      <c r="D17" s="54">
        <v>9</v>
      </c>
      <c r="E17" s="54">
        <v>128</v>
      </c>
      <c r="F17" s="54">
        <v>17</v>
      </c>
      <c r="G17" s="54">
        <v>130</v>
      </c>
      <c r="H17" s="54">
        <v>7</v>
      </c>
      <c r="I17" s="54">
        <v>101</v>
      </c>
      <c r="J17" s="54">
        <v>7</v>
      </c>
      <c r="K17" s="54">
        <v>118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15.5" x14ac:dyDescent="0.35">
      <c r="A18" s="52" t="s">
        <v>33</v>
      </c>
      <c r="B18" s="54">
        <v>5</v>
      </c>
      <c r="C18" s="54">
        <v>68</v>
      </c>
      <c r="D18" s="54">
        <v>8</v>
      </c>
      <c r="E18" s="54">
        <v>84</v>
      </c>
      <c r="F18" s="54">
        <v>7</v>
      </c>
      <c r="G18" s="54">
        <v>88</v>
      </c>
      <c r="H18" s="54">
        <v>1</v>
      </c>
      <c r="I18" s="54">
        <v>69</v>
      </c>
      <c r="J18" s="54">
        <v>8</v>
      </c>
      <c r="K18" s="54">
        <v>100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ht="15.5" x14ac:dyDescent="0.35">
      <c r="A19" s="52" t="s">
        <v>34</v>
      </c>
      <c r="B19" s="54">
        <v>1</v>
      </c>
      <c r="C19" s="54">
        <v>14</v>
      </c>
      <c r="D19" s="54">
        <v>0</v>
      </c>
      <c r="E19" s="54">
        <v>16</v>
      </c>
      <c r="F19" s="54">
        <v>3</v>
      </c>
      <c r="G19" s="54">
        <v>18</v>
      </c>
      <c r="H19" s="54">
        <v>3</v>
      </c>
      <c r="I19" s="54">
        <v>27</v>
      </c>
      <c r="J19" s="54">
        <v>1</v>
      </c>
      <c r="K19" s="54">
        <v>22</v>
      </c>
      <c r="L19"/>
      <c r="M19"/>
      <c r="N19"/>
      <c r="O19"/>
    </row>
    <row r="20" spans="1:41" ht="15.5" x14ac:dyDescent="0.35">
      <c r="A20" s="52" t="s">
        <v>35</v>
      </c>
      <c r="B20" s="54">
        <v>55</v>
      </c>
      <c r="C20" s="54">
        <v>656</v>
      </c>
      <c r="D20" s="54">
        <v>48</v>
      </c>
      <c r="E20" s="54">
        <v>663</v>
      </c>
      <c r="F20" s="54">
        <v>50</v>
      </c>
      <c r="G20" s="54">
        <v>637</v>
      </c>
      <c r="H20" s="54">
        <v>71</v>
      </c>
      <c r="I20" s="54">
        <v>714</v>
      </c>
      <c r="J20" s="54">
        <v>64</v>
      </c>
      <c r="K20" s="54">
        <v>805</v>
      </c>
      <c r="L20"/>
      <c r="M20"/>
      <c r="N20"/>
      <c r="O20"/>
    </row>
    <row r="21" spans="1:41" ht="15.5" x14ac:dyDescent="0.35">
      <c r="A21" s="52" t="s">
        <v>36</v>
      </c>
      <c r="B21" s="54">
        <v>10</v>
      </c>
      <c r="C21" s="54">
        <v>115</v>
      </c>
      <c r="D21" s="54">
        <v>9</v>
      </c>
      <c r="E21" s="54">
        <v>96</v>
      </c>
      <c r="F21" s="54">
        <v>7</v>
      </c>
      <c r="G21" s="54">
        <v>123</v>
      </c>
      <c r="H21" s="54">
        <v>7</v>
      </c>
      <c r="I21" s="54">
        <v>121</v>
      </c>
      <c r="J21" s="54">
        <v>7</v>
      </c>
      <c r="K21" s="54">
        <v>127</v>
      </c>
      <c r="L21"/>
      <c r="M21"/>
      <c r="N21"/>
      <c r="O21"/>
    </row>
    <row r="22" spans="1:41" ht="15.5" x14ac:dyDescent="0.35">
      <c r="A22" s="52" t="s">
        <v>37</v>
      </c>
      <c r="B22" s="54">
        <v>8</v>
      </c>
      <c r="C22" s="54">
        <v>75</v>
      </c>
      <c r="D22" s="54">
        <v>3</v>
      </c>
      <c r="E22" s="54">
        <v>66</v>
      </c>
      <c r="F22" s="54">
        <v>5</v>
      </c>
      <c r="G22" s="54">
        <v>79</v>
      </c>
      <c r="H22" s="54">
        <v>4</v>
      </c>
      <c r="I22" s="54">
        <v>85</v>
      </c>
      <c r="J22" s="54">
        <v>9</v>
      </c>
      <c r="K22" s="54">
        <v>103</v>
      </c>
      <c r="L22"/>
      <c r="M22"/>
      <c r="N22"/>
      <c r="O22"/>
    </row>
    <row r="23" spans="1:41" ht="15.5" x14ac:dyDescent="0.35">
      <c r="A23" s="52" t="s">
        <v>38</v>
      </c>
      <c r="B23" s="54">
        <v>1</v>
      </c>
      <c r="C23" s="54">
        <v>14</v>
      </c>
      <c r="D23" s="54">
        <v>5</v>
      </c>
      <c r="E23" s="54">
        <v>22</v>
      </c>
      <c r="F23" s="54">
        <v>0</v>
      </c>
      <c r="G23" s="54">
        <v>20</v>
      </c>
      <c r="H23" s="54">
        <v>7</v>
      </c>
      <c r="I23" s="54">
        <v>14</v>
      </c>
      <c r="J23" s="54">
        <v>2</v>
      </c>
      <c r="K23" s="54">
        <v>18</v>
      </c>
      <c r="L23"/>
      <c r="M23"/>
      <c r="N23"/>
      <c r="O23"/>
    </row>
    <row r="24" spans="1:41" ht="15.5" x14ac:dyDescent="0.35">
      <c r="A24" s="52" t="s">
        <v>39</v>
      </c>
      <c r="B24" s="54">
        <v>222</v>
      </c>
      <c r="C24" s="54">
        <v>7049</v>
      </c>
      <c r="D24" s="54">
        <v>240</v>
      </c>
      <c r="E24" s="54">
        <v>7149</v>
      </c>
      <c r="F24" s="54">
        <v>211</v>
      </c>
      <c r="G24" s="54">
        <v>7060</v>
      </c>
      <c r="H24" s="54">
        <v>224</v>
      </c>
      <c r="I24" s="54">
        <v>5843</v>
      </c>
      <c r="J24" s="54">
        <v>164</v>
      </c>
      <c r="K24" s="54">
        <v>6702</v>
      </c>
      <c r="L24"/>
      <c r="M24"/>
      <c r="N24"/>
      <c r="O24"/>
    </row>
    <row r="25" spans="1:41" ht="15.5" x14ac:dyDescent="0.35">
      <c r="A25" s="52" t="s">
        <v>40</v>
      </c>
      <c r="B25" s="54">
        <v>6</v>
      </c>
      <c r="C25" s="54">
        <v>149</v>
      </c>
      <c r="D25" s="54">
        <v>12</v>
      </c>
      <c r="E25" s="54">
        <v>174</v>
      </c>
      <c r="F25" s="54">
        <v>10</v>
      </c>
      <c r="G25" s="54">
        <v>138</v>
      </c>
      <c r="H25" s="54">
        <v>10</v>
      </c>
      <c r="I25" s="54">
        <v>114</v>
      </c>
      <c r="J25" s="54">
        <v>9</v>
      </c>
      <c r="K25" s="54">
        <v>171</v>
      </c>
      <c r="L25"/>
      <c r="M25"/>
      <c r="N25"/>
      <c r="O25"/>
    </row>
    <row r="26" spans="1:41" ht="15.5" x14ac:dyDescent="0.35">
      <c r="A26" s="52" t="s">
        <v>41</v>
      </c>
      <c r="B26" s="54">
        <v>1</v>
      </c>
      <c r="C26" s="54">
        <v>157</v>
      </c>
      <c r="D26" s="54">
        <v>6</v>
      </c>
      <c r="E26" s="54">
        <v>142</v>
      </c>
      <c r="F26" s="54">
        <v>7</v>
      </c>
      <c r="G26" s="54">
        <v>144</v>
      </c>
      <c r="H26" s="54">
        <v>0</v>
      </c>
      <c r="I26" s="54">
        <v>114</v>
      </c>
      <c r="J26" s="54">
        <v>2</v>
      </c>
      <c r="K26" s="54">
        <v>130</v>
      </c>
      <c r="L26"/>
      <c r="M26"/>
      <c r="N26"/>
      <c r="O26"/>
    </row>
    <row r="27" spans="1:41" ht="15.5" x14ac:dyDescent="0.35">
      <c r="A27" s="52" t="s">
        <v>42</v>
      </c>
      <c r="B27" s="54">
        <v>5</v>
      </c>
      <c r="C27" s="54">
        <v>32</v>
      </c>
      <c r="D27" s="54">
        <v>1</v>
      </c>
      <c r="E27" s="54">
        <v>16</v>
      </c>
      <c r="F27" s="54">
        <v>2</v>
      </c>
      <c r="G27" s="54">
        <v>11</v>
      </c>
      <c r="H27" s="54">
        <v>1</v>
      </c>
      <c r="I27" s="54">
        <v>15</v>
      </c>
      <c r="J27" s="54">
        <v>0</v>
      </c>
      <c r="K27" s="54">
        <v>14</v>
      </c>
      <c r="L27"/>
      <c r="M27"/>
      <c r="N27"/>
      <c r="O27"/>
    </row>
    <row r="28" spans="1:41" ht="15.5" x14ac:dyDescent="0.35">
      <c r="A28" s="52" t="s">
        <v>43</v>
      </c>
      <c r="B28" s="54">
        <v>3</v>
      </c>
      <c r="C28" s="54">
        <v>123</v>
      </c>
      <c r="D28" s="54">
        <v>11</v>
      </c>
      <c r="E28" s="54">
        <v>112</v>
      </c>
      <c r="F28" s="54">
        <v>10</v>
      </c>
      <c r="G28" s="54">
        <v>104</v>
      </c>
      <c r="H28" s="54">
        <v>6</v>
      </c>
      <c r="I28" s="54">
        <v>100</v>
      </c>
      <c r="J28" s="54">
        <v>5</v>
      </c>
      <c r="K28" s="54">
        <v>98</v>
      </c>
      <c r="L28"/>
      <c r="M28"/>
      <c r="N28"/>
      <c r="O28"/>
    </row>
    <row r="29" spans="1:41" ht="15.5" x14ac:dyDescent="0.35">
      <c r="A29" s="52" t="s">
        <v>44</v>
      </c>
      <c r="B29" s="54">
        <v>20</v>
      </c>
      <c r="C29" s="54">
        <v>271</v>
      </c>
      <c r="D29" s="54">
        <v>23</v>
      </c>
      <c r="E29" s="54">
        <v>279</v>
      </c>
      <c r="F29" s="54">
        <v>13</v>
      </c>
      <c r="G29" s="54">
        <v>302</v>
      </c>
      <c r="H29" s="54">
        <v>13</v>
      </c>
      <c r="I29" s="54">
        <v>301</v>
      </c>
      <c r="J29" s="54">
        <v>22</v>
      </c>
      <c r="K29" s="54">
        <v>312</v>
      </c>
      <c r="L29"/>
      <c r="M29"/>
      <c r="N29"/>
      <c r="O29"/>
    </row>
    <row r="30" spans="1:41" ht="15.5" x14ac:dyDescent="0.35">
      <c r="A30" s="52" t="s">
        <v>45</v>
      </c>
      <c r="B30" s="54">
        <v>0</v>
      </c>
      <c r="C30" s="54">
        <v>9</v>
      </c>
      <c r="D30" s="54">
        <v>0</v>
      </c>
      <c r="E30" s="54">
        <v>11</v>
      </c>
      <c r="F30" s="54">
        <v>0</v>
      </c>
      <c r="G30" s="54">
        <v>4</v>
      </c>
      <c r="H30" s="54">
        <v>1</v>
      </c>
      <c r="I30" s="54">
        <v>8</v>
      </c>
      <c r="J30" s="54">
        <v>1</v>
      </c>
      <c r="K30" s="54">
        <v>13</v>
      </c>
      <c r="L30"/>
      <c r="M30"/>
      <c r="N30"/>
      <c r="O30"/>
    </row>
    <row r="31" spans="1:41" ht="15.5" x14ac:dyDescent="0.35">
      <c r="A31" s="52" t="s">
        <v>46</v>
      </c>
      <c r="B31" s="54">
        <v>4</v>
      </c>
      <c r="C31" s="54">
        <v>21</v>
      </c>
      <c r="D31" s="54">
        <v>1</v>
      </c>
      <c r="E31" s="54">
        <v>17</v>
      </c>
      <c r="F31" s="54">
        <v>4</v>
      </c>
      <c r="G31" s="54">
        <v>19</v>
      </c>
      <c r="H31" s="54">
        <v>1</v>
      </c>
      <c r="I31" s="54">
        <v>9</v>
      </c>
      <c r="J31" s="54">
        <v>2</v>
      </c>
      <c r="K31" s="54">
        <v>8</v>
      </c>
      <c r="L31"/>
      <c r="M31"/>
      <c r="N31"/>
      <c r="O31"/>
    </row>
    <row r="32" spans="1:41" ht="15.5" x14ac:dyDescent="0.35">
      <c r="A32" s="52" t="s">
        <v>47</v>
      </c>
      <c r="B32" s="54">
        <v>19</v>
      </c>
      <c r="C32" s="54">
        <v>333</v>
      </c>
      <c r="D32" s="54">
        <v>20</v>
      </c>
      <c r="E32" s="54">
        <v>405</v>
      </c>
      <c r="F32" s="54">
        <v>14</v>
      </c>
      <c r="G32" s="54">
        <v>402</v>
      </c>
      <c r="H32" s="54">
        <v>29</v>
      </c>
      <c r="I32" s="54">
        <v>300</v>
      </c>
      <c r="J32" s="54">
        <v>23</v>
      </c>
      <c r="K32" s="54">
        <v>348</v>
      </c>
      <c r="L32"/>
      <c r="M32"/>
      <c r="N32"/>
      <c r="O32"/>
    </row>
    <row r="33" spans="1:15" ht="15.5" x14ac:dyDescent="0.35">
      <c r="A33" s="52" t="s">
        <v>48</v>
      </c>
      <c r="B33" s="54">
        <v>4</v>
      </c>
      <c r="C33" s="54">
        <v>113</v>
      </c>
      <c r="D33" s="54">
        <v>2</v>
      </c>
      <c r="E33" s="54">
        <v>182</v>
      </c>
      <c r="F33" s="54">
        <v>5</v>
      </c>
      <c r="G33" s="54">
        <v>141</v>
      </c>
      <c r="H33" s="54">
        <v>7</v>
      </c>
      <c r="I33" s="54">
        <v>124</v>
      </c>
      <c r="J33" s="54">
        <v>2</v>
      </c>
      <c r="K33" s="54">
        <v>146</v>
      </c>
      <c r="L33"/>
      <c r="M33"/>
      <c r="N33"/>
      <c r="O33"/>
    </row>
    <row r="34" spans="1:15" ht="15.5" x14ac:dyDescent="0.35">
      <c r="A34" s="52" t="s">
        <v>49</v>
      </c>
      <c r="B34" s="54">
        <v>6</v>
      </c>
      <c r="C34" s="54">
        <v>94</v>
      </c>
      <c r="D34" s="54">
        <v>6</v>
      </c>
      <c r="E34" s="54">
        <v>81</v>
      </c>
      <c r="F34" s="54">
        <v>2</v>
      </c>
      <c r="G34" s="54">
        <v>86</v>
      </c>
      <c r="H34" s="54">
        <v>6</v>
      </c>
      <c r="I34" s="54">
        <v>78</v>
      </c>
      <c r="J34" s="54">
        <v>7</v>
      </c>
      <c r="K34" s="54">
        <v>118</v>
      </c>
      <c r="L34"/>
      <c r="M34"/>
      <c r="N34"/>
      <c r="O34"/>
    </row>
    <row r="35" spans="1:15" ht="15.5" x14ac:dyDescent="0.35">
      <c r="A35" s="52" t="s">
        <v>50</v>
      </c>
      <c r="B35" s="54">
        <v>72</v>
      </c>
      <c r="C35" s="54">
        <v>1883</v>
      </c>
      <c r="D35" s="54">
        <v>67</v>
      </c>
      <c r="E35" s="54">
        <v>1789</v>
      </c>
      <c r="F35" s="54">
        <v>71</v>
      </c>
      <c r="G35" s="54">
        <v>1693</v>
      </c>
      <c r="H35" s="54">
        <v>71</v>
      </c>
      <c r="I35" s="54">
        <v>1211</v>
      </c>
      <c r="J35" s="54">
        <v>79</v>
      </c>
      <c r="K35" s="54">
        <v>1973</v>
      </c>
      <c r="L35"/>
      <c r="M35"/>
      <c r="N35"/>
      <c r="O35"/>
    </row>
    <row r="36" spans="1:15" ht="15.5" x14ac:dyDescent="0.35">
      <c r="A36" s="52" t="s">
        <v>51</v>
      </c>
      <c r="B36" s="54">
        <v>13</v>
      </c>
      <c r="C36" s="54">
        <v>177</v>
      </c>
      <c r="D36" s="54">
        <v>3</v>
      </c>
      <c r="E36" s="54">
        <v>256</v>
      </c>
      <c r="F36" s="54">
        <v>7</v>
      </c>
      <c r="G36" s="54">
        <v>246</v>
      </c>
      <c r="H36" s="54">
        <v>7</v>
      </c>
      <c r="I36" s="54">
        <v>260</v>
      </c>
      <c r="J36" s="54">
        <v>10</v>
      </c>
      <c r="K36" s="54">
        <v>280</v>
      </c>
      <c r="L36"/>
      <c r="M36"/>
      <c r="N36"/>
      <c r="O36"/>
    </row>
    <row r="37" spans="1:15" ht="15.5" x14ac:dyDescent="0.35">
      <c r="A37" s="52" t="s">
        <v>52</v>
      </c>
      <c r="B37" s="54">
        <v>3</v>
      </c>
      <c r="C37" s="54">
        <v>27</v>
      </c>
      <c r="D37" s="54">
        <v>1</v>
      </c>
      <c r="E37" s="54">
        <v>33</v>
      </c>
      <c r="F37" s="54">
        <v>1</v>
      </c>
      <c r="G37" s="54">
        <v>37</v>
      </c>
      <c r="H37" s="54">
        <v>1</v>
      </c>
      <c r="I37" s="54">
        <v>19</v>
      </c>
      <c r="J37" s="54">
        <v>1</v>
      </c>
      <c r="K37" s="54">
        <v>31</v>
      </c>
      <c r="L37"/>
      <c r="M37"/>
      <c r="N37"/>
      <c r="O37"/>
    </row>
    <row r="38" spans="1:15" ht="15.5" x14ac:dyDescent="0.35">
      <c r="A38" s="52" t="s">
        <v>53</v>
      </c>
      <c r="B38" s="54">
        <v>116</v>
      </c>
      <c r="C38" s="54">
        <v>1709</v>
      </c>
      <c r="D38" s="54">
        <v>130</v>
      </c>
      <c r="E38" s="54">
        <v>1664</v>
      </c>
      <c r="F38" s="54">
        <v>109</v>
      </c>
      <c r="G38" s="54">
        <v>1677</v>
      </c>
      <c r="H38" s="54">
        <v>124</v>
      </c>
      <c r="I38" s="54">
        <v>1360</v>
      </c>
      <c r="J38" s="54">
        <v>106</v>
      </c>
      <c r="K38" s="54">
        <v>1908</v>
      </c>
      <c r="L38"/>
      <c r="M38"/>
      <c r="N38"/>
      <c r="O38"/>
    </row>
    <row r="39" spans="1:15" ht="15.5" x14ac:dyDescent="0.35">
      <c r="A39" s="52" t="s">
        <v>54</v>
      </c>
      <c r="B39" s="54">
        <v>52</v>
      </c>
      <c r="C39" s="54">
        <v>1231</v>
      </c>
      <c r="D39" s="54">
        <v>39</v>
      </c>
      <c r="E39" s="54">
        <v>1301</v>
      </c>
      <c r="F39" s="54">
        <v>53</v>
      </c>
      <c r="G39" s="54">
        <v>1187</v>
      </c>
      <c r="H39" s="54">
        <v>36</v>
      </c>
      <c r="I39" s="54">
        <v>1119</v>
      </c>
      <c r="J39" s="54">
        <v>64</v>
      </c>
      <c r="K39" s="54">
        <v>1328</v>
      </c>
      <c r="L39"/>
      <c r="M39"/>
      <c r="N39"/>
      <c r="O39"/>
    </row>
    <row r="40" spans="1:15" ht="15.5" x14ac:dyDescent="0.35">
      <c r="A40" s="52" t="s">
        <v>55</v>
      </c>
      <c r="B40" s="54">
        <v>1</v>
      </c>
      <c r="C40" s="54">
        <v>49</v>
      </c>
      <c r="D40" s="54">
        <v>3</v>
      </c>
      <c r="E40" s="54">
        <v>58</v>
      </c>
      <c r="F40" s="54">
        <v>4</v>
      </c>
      <c r="G40" s="54">
        <v>39</v>
      </c>
      <c r="H40" s="54">
        <v>4</v>
      </c>
      <c r="I40" s="54">
        <v>42</v>
      </c>
      <c r="J40" s="54">
        <v>2</v>
      </c>
      <c r="K40" s="54">
        <v>56</v>
      </c>
      <c r="L40"/>
      <c r="M40"/>
      <c r="N40"/>
      <c r="O40"/>
    </row>
    <row r="41" spans="1:15" ht="15.5" x14ac:dyDescent="0.35">
      <c r="A41" s="52" t="s">
        <v>56</v>
      </c>
      <c r="B41" s="54">
        <v>110</v>
      </c>
      <c r="C41" s="54">
        <v>1542</v>
      </c>
      <c r="D41" s="54">
        <v>86</v>
      </c>
      <c r="E41" s="54">
        <v>1696</v>
      </c>
      <c r="F41" s="54">
        <v>106</v>
      </c>
      <c r="G41" s="54">
        <v>1696</v>
      </c>
      <c r="H41" s="54">
        <v>94</v>
      </c>
      <c r="I41" s="54">
        <v>1520</v>
      </c>
      <c r="J41" s="54">
        <v>130</v>
      </c>
      <c r="K41" s="54">
        <v>1857</v>
      </c>
      <c r="L41"/>
      <c r="M41"/>
      <c r="N41"/>
      <c r="O41"/>
    </row>
    <row r="42" spans="1:15" ht="15.5" x14ac:dyDescent="0.35">
      <c r="A42" s="52" t="s">
        <v>57</v>
      </c>
      <c r="B42" s="54">
        <v>84</v>
      </c>
      <c r="C42" s="54">
        <v>2324</v>
      </c>
      <c r="D42" s="54">
        <v>86</v>
      </c>
      <c r="E42" s="54">
        <v>2360</v>
      </c>
      <c r="F42" s="54">
        <v>85</v>
      </c>
      <c r="G42" s="54">
        <v>2433</v>
      </c>
      <c r="H42" s="54">
        <v>98</v>
      </c>
      <c r="I42" s="54">
        <v>2164</v>
      </c>
      <c r="J42" s="54">
        <v>106</v>
      </c>
      <c r="K42" s="54">
        <v>2714</v>
      </c>
      <c r="L42"/>
      <c r="M42"/>
      <c r="N42"/>
      <c r="O42"/>
    </row>
    <row r="43" spans="1:15" ht="15.5" x14ac:dyDescent="0.35">
      <c r="A43" s="52" t="s">
        <v>58</v>
      </c>
      <c r="B43" s="54">
        <v>1</v>
      </c>
      <c r="C43" s="54">
        <v>467</v>
      </c>
      <c r="D43" s="54">
        <v>4</v>
      </c>
      <c r="E43" s="54">
        <v>428</v>
      </c>
      <c r="F43" s="54">
        <v>5</v>
      </c>
      <c r="G43" s="54">
        <v>491</v>
      </c>
      <c r="H43" s="54">
        <v>4</v>
      </c>
      <c r="I43" s="54">
        <v>355</v>
      </c>
      <c r="J43" s="54">
        <v>8</v>
      </c>
      <c r="K43" s="54">
        <v>422</v>
      </c>
      <c r="L43"/>
      <c r="M43"/>
      <c r="N43"/>
      <c r="O43"/>
    </row>
    <row r="44" spans="1:15" ht="15.5" x14ac:dyDescent="0.35">
      <c r="A44" s="52" t="s">
        <v>59</v>
      </c>
      <c r="B44" s="54">
        <v>47</v>
      </c>
      <c r="C44" s="54">
        <v>580</v>
      </c>
      <c r="D44" s="54">
        <v>39</v>
      </c>
      <c r="E44" s="54">
        <v>593</v>
      </c>
      <c r="F44" s="54">
        <v>34</v>
      </c>
      <c r="G44" s="54">
        <v>714</v>
      </c>
      <c r="H44" s="54">
        <v>57</v>
      </c>
      <c r="I44" s="54">
        <v>667</v>
      </c>
      <c r="J44" s="54">
        <v>50</v>
      </c>
      <c r="K44" s="54">
        <v>690</v>
      </c>
      <c r="L44"/>
      <c r="M44"/>
      <c r="N44"/>
      <c r="O44"/>
    </row>
    <row r="45" spans="1:15" ht="15.5" x14ac:dyDescent="0.35">
      <c r="A45" s="52" t="s">
        <v>60</v>
      </c>
      <c r="B45" s="54">
        <v>18</v>
      </c>
      <c r="C45" s="54">
        <v>226</v>
      </c>
      <c r="D45" s="54">
        <v>12</v>
      </c>
      <c r="E45" s="54">
        <v>187</v>
      </c>
      <c r="F45" s="54">
        <v>12</v>
      </c>
      <c r="G45" s="54">
        <v>194</v>
      </c>
      <c r="H45" s="54">
        <v>8</v>
      </c>
      <c r="I45" s="54">
        <v>160</v>
      </c>
      <c r="J45" s="54">
        <v>9</v>
      </c>
      <c r="K45" s="54">
        <v>217</v>
      </c>
      <c r="L45"/>
      <c r="M45"/>
      <c r="N45"/>
      <c r="O45"/>
    </row>
    <row r="46" spans="1:15" ht="15.5" x14ac:dyDescent="0.35">
      <c r="A46" s="52" t="s">
        <v>61</v>
      </c>
      <c r="B46" s="54">
        <v>11</v>
      </c>
      <c r="C46" s="54">
        <v>399</v>
      </c>
      <c r="D46" s="54">
        <v>7</v>
      </c>
      <c r="E46" s="54">
        <v>429</v>
      </c>
      <c r="F46" s="54">
        <v>6</v>
      </c>
      <c r="G46" s="54">
        <v>428</v>
      </c>
      <c r="H46" s="54">
        <v>13</v>
      </c>
      <c r="I46" s="54">
        <v>289</v>
      </c>
      <c r="J46" s="54">
        <v>8</v>
      </c>
      <c r="K46" s="54">
        <v>326</v>
      </c>
      <c r="L46"/>
      <c r="M46"/>
      <c r="N46"/>
      <c r="O46"/>
    </row>
    <row r="47" spans="1:15" ht="15.5" x14ac:dyDescent="0.35">
      <c r="A47" s="52" t="s">
        <v>62</v>
      </c>
      <c r="B47" s="54">
        <v>16</v>
      </c>
      <c r="C47" s="54">
        <v>321</v>
      </c>
      <c r="D47" s="54">
        <v>9</v>
      </c>
      <c r="E47" s="54">
        <v>272</v>
      </c>
      <c r="F47" s="54">
        <v>11</v>
      </c>
      <c r="G47" s="54">
        <v>336</v>
      </c>
      <c r="H47" s="54">
        <v>11</v>
      </c>
      <c r="I47" s="54">
        <v>301</v>
      </c>
      <c r="J47" s="54">
        <v>13</v>
      </c>
      <c r="K47" s="54">
        <v>361</v>
      </c>
      <c r="L47"/>
      <c r="M47"/>
      <c r="N47"/>
      <c r="O47"/>
    </row>
    <row r="48" spans="1:15" ht="15.5" x14ac:dyDescent="0.35">
      <c r="A48" s="52" t="s">
        <v>63</v>
      </c>
      <c r="B48" s="54">
        <v>42</v>
      </c>
      <c r="C48" s="54">
        <v>926</v>
      </c>
      <c r="D48" s="54">
        <v>30</v>
      </c>
      <c r="E48" s="54">
        <v>1047</v>
      </c>
      <c r="F48" s="54">
        <v>39</v>
      </c>
      <c r="G48" s="54">
        <v>1071</v>
      </c>
      <c r="H48" s="54">
        <v>31</v>
      </c>
      <c r="I48" s="54">
        <v>811</v>
      </c>
      <c r="J48" s="54">
        <v>40</v>
      </c>
      <c r="K48" s="54">
        <v>966</v>
      </c>
      <c r="L48"/>
      <c r="M48"/>
      <c r="N48"/>
      <c r="O48"/>
    </row>
    <row r="49" spans="1:15" ht="15.5" x14ac:dyDescent="0.35">
      <c r="A49" s="52" t="s">
        <v>64</v>
      </c>
      <c r="B49" s="54">
        <v>7</v>
      </c>
      <c r="C49" s="54">
        <v>256</v>
      </c>
      <c r="D49" s="54">
        <v>10</v>
      </c>
      <c r="E49" s="54">
        <v>232</v>
      </c>
      <c r="F49" s="54">
        <v>7</v>
      </c>
      <c r="G49" s="54">
        <v>261</v>
      </c>
      <c r="H49" s="54">
        <v>7</v>
      </c>
      <c r="I49" s="54">
        <v>197</v>
      </c>
      <c r="J49" s="54">
        <v>12</v>
      </c>
      <c r="K49" s="54">
        <v>236</v>
      </c>
      <c r="L49"/>
      <c r="M49"/>
      <c r="N49"/>
      <c r="O49"/>
    </row>
    <row r="50" spans="1:15" ht="15.5" x14ac:dyDescent="0.35">
      <c r="A50" s="52" t="s">
        <v>65</v>
      </c>
      <c r="B50" s="54">
        <v>9</v>
      </c>
      <c r="C50" s="54">
        <v>166</v>
      </c>
      <c r="D50" s="54">
        <v>8</v>
      </c>
      <c r="E50" s="54">
        <v>135</v>
      </c>
      <c r="F50" s="54">
        <v>14</v>
      </c>
      <c r="G50" s="54">
        <v>128</v>
      </c>
      <c r="H50" s="54">
        <v>14</v>
      </c>
      <c r="I50" s="54">
        <v>155</v>
      </c>
      <c r="J50" s="54">
        <v>10</v>
      </c>
      <c r="K50" s="54">
        <v>178</v>
      </c>
      <c r="L50"/>
      <c r="M50"/>
      <c r="N50"/>
      <c r="O50"/>
    </row>
    <row r="51" spans="1:15" ht="15.5" x14ac:dyDescent="0.35">
      <c r="A51" s="52" t="s">
        <v>66</v>
      </c>
      <c r="B51" s="54">
        <v>0</v>
      </c>
      <c r="C51" s="54">
        <v>5</v>
      </c>
      <c r="D51" s="54">
        <v>0</v>
      </c>
      <c r="E51" s="54">
        <v>4</v>
      </c>
      <c r="F51" s="54">
        <v>0</v>
      </c>
      <c r="G51" s="54">
        <v>14</v>
      </c>
      <c r="H51" s="54">
        <v>1</v>
      </c>
      <c r="I51" s="54">
        <v>9</v>
      </c>
      <c r="J51" s="54">
        <v>0</v>
      </c>
      <c r="K51" s="54">
        <v>1</v>
      </c>
      <c r="L51"/>
      <c r="M51"/>
      <c r="N51"/>
      <c r="O51"/>
    </row>
    <row r="52" spans="1:15" ht="15.5" x14ac:dyDescent="0.35">
      <c r="A52" s="52" t="s">
        <v>67</v>
      </c>
      <c r="B52" s="54">
        <v>6</v>
      </c>
      <c r="C52" s="54">
        <v>47</v>
      </c>
      <c r="D52" s="54">
        <v>6</v>
      </c>
      <c r="E52" s="54">
        <v>38</v>
      </c>
      <c r="F52" s="54">
        <v>1</v>
      </c>
      <c r="G52" s="54">
        <v>44</v>
      </c>
      <c r="H52" s="54">
        <v>1</v>
      </c>
      <c r="I52" s="54">
        <v>51</v>
      </c>
      <c r="J52" s="54">
        <v>9</v>
      </c>
      <c r="K52" s="54">
        <v>47</v>
      </c>
      <c r="L52"/>
      <c r="M52"/>
      <c r="N52"/>
      <c r="O52"/>
    </row>
    <row r="53" spans="1:15" ht="15.5" x14ac:dyDescent="0.35">
      <c r="A53" s="52" t="s">
        <v>68</v>
      </c>
      <c r="B53" s="54">
        <v>15</v>
      </c>
      <c r="C53" s="54">
        <v>351</v>
      </c>
      <c r="D53" s="54">
        <v>26</v>
      </c>
      <c r="E53" s="54">
        <v>306</v>
      </c>
      <c r="F53" s="54">
        <v>13</v>
      </c>
      <c r="G53" s="54">
        <v>229</v>
      </c>
      <c r="H53" s="54">
        <v>8</v>
      </c>
      <c r="I53" s="54">
        <v>250</v>
      </c>
      <c r="J53" s="54">
        <v>10</v>
      </c>
      <c r="K53" s="54">
        <v>353</v>
      </c>
      <c r="L53"/>
      <c r="M53"/>
      <c r="N53"/>
      <c r="O53"/>
    </row>
    <row r="54" spans="1:15" ht="15.5" x14ac:dyDescent="0.35">
      <c r="A54" s="52" t="s">
        <v>69</v>
      </c>
      <c r="B54" s="54">
        <v>18</v>
      </c>
      <c r="C54" s="54">
        <v>413</v>
      </c>
      <c r="D54" s="54">
        <v>10</v>
      </c>
      <c r="E54" s="54">
        <v>445</v>
      </c>
      <c r="F54" s="54">
        <v>11</v>
      </c>
      <c r="G54" s="54">
        <v>415</v>
      </c>
      <c r="H54" s="54">
        <v>6</v>
      </c>
      <c r="I54" s="54">
        <v>338</v>
      </c>
      <c r="J54" s="54">
        <v>19</v>
      </c>
      <c r="K54" s="54">
        <v>401</v>
      </c>
      <c r="L54"/>
      <c r="M54"/>
      <c r="N54"/>
      <c r="O54"/>
    </row>
    <row r="55" spans="1:15" ht="15.5" x14ac:dyDescent="0.35">
      <c r="A55" s="52" t="s">
        <v>70</v>
      </c>
      <c r="B55" s="54">
        <v>28</v>
      </c>
      <c r="C55" s="54">
        <v>572</v>
      </c>
      <c r="D55" s="54">
        <v>39</v>
      </c>
      <c r="E55" s="54">
        <v>512</v>
      </c>
      <c r="F55" s="54">
        <v>26</v>
      </c>
      <c r="G55" s="54">
        <v>525</v>
      </c>
      <c r="H55" s="54">
        <v>27</v>
      </c>
      <c r="I55" s="54">
        <v>497</v>
      </c>
      <c r="J55" s="54">
        <v>46</v>
      </c>
      <c r="K55" s="54">
        <v>623</v>
      </c>
      <c r="L55"/>
      <c r="M55"/>
      <c r="N55"/>
      <c r="O55"/>
    </row>
    <row r="56" spans="1:15" ht="15.5" x14ac:dyDescent="0.35">
      <c r="A56" s="52" t="s">
        <v>71</v>
      </c>
      <c r="B56" s="54">
        <v>5</v>
      </c>
      <c r="C56" s="54">
        <v>102</v>
      </c>
      <c r="D56" s="54">
        <v>5</v>
      </c>
      <c r="E56" s="54">
        <v>117</v>
      </c>
      <c r="F56" s="54">
        <v>9</v>
      </c>
      <c r="G56" s="54">
        <v>90</v>
      </c>
      <c r="H56" s="54">
        <v>6</v>
      </c>
      <c r="I56" s="54">
        <v>79</v>
      </c>
      <c r="J56" s="54">
        <v>5</v>
      </c>
      <c r="K56" s="54">
        <v>112</v>
      </c>
      <c r="L56"/>
      <c r="M56"/>
      <c r="N56"/>
      <c r="O56"/>
    </row>
    <row r="57" spans="1:15" ht="15.5" x14ac:dyDescent="0.35">
      <c r="A57" s="52" t="s">
        <v>72</v>
      </c>
      <c r="B57" s="54">
        <v>4</v>
      </c>
      <c r="C57" s="54">
        <v>63</v>
      </c>
      <c r="D57" s="54">
        <v>5</v>
      </c>
      <c r="E57" s="54">
        <v>48</v>
      </c>
      <c r="F57" s="54">
        <v>8</v>
      </c>
      <c r="G57" s="54">
        <v>77</v>
      </c>
      <c r="H57" s="54">
        <v>9</v>
      </c>
      <c r="I57" s="54">
        <v>61</v>
      </c>
      <c r="J57" s="54">
        <v>4</v>
      </c>
      <c r="K57" s="54">
        <v>56</v>
      </c>
      <c r="L57"/>
      <c r="M57"/>
      <c r="N57"/>
      <c r="O57"/>
    </row>
    <row r="58" spans="1:15" ht="15.5" x14ac:dyDescent="0.35">
      <c r="A58" s="52" t="s">
        <v>73</v>
      </c>
      <c r="B58" s="54">
        <v>2</v>
      </c>
      <c r="C58" s="54">
        <v>32</v>
      </c>
      <c r="D58" s="54">
        <v>3</v>
      </c>
      <c r="E58" s="54">
        <v>24</v>
      </c>
      <c r="F58" s="54">
        <v>3</v>
      </c>
      <c r="G58" s="54">
        <v>19</v>
      </c>
      <c r="H58" s="54">
        <v>2</v>
      </c>
      <c r="I58" s="54">
        <v>18</v>
      </c>
      <c r="J58" s="54">
        <v>8</v>
      </c>
      <c r="K58" s="54">
        <v>27</v>
      </c>
      <c r="L58"/>
      <c r="M58"/>
      <c r="N58"/>
      <c r="O58"/>
    </row>
    <row r="59" spans="1:15" ht="15.5" x14ac:dyDescent="0.35">
      <c r="A59" s="52" t="s">
        <v>74</v>
      </c>
      <c r="B59" s="54">
        <v>36</v>
      </c>
      <c r="C59" s="54">
        <v>307</v>
      </c>
      <c r="D59" s="54">
        <v>27</v>
      </c>
      <c r="E59" s="54">
        <v>361</v>
      </c>
      <c r="F59" s="54">
        <v>25</v>
      </c>
      <c r="G59" s="54">
        <v>350</v>
      </c>
      <c r="H59" s="54">
        <v>38</v>
      </c>
      <c r="I59" s="54">
        <v>338</v>
      </c>
      <c r="J59" s="54">
        <v>34</v>
      </c>
      <c r="K59" s="54">
        <v>416</v>
      </c>
      <c r="L59"/>
      <c r="M59"/>
      <c r="N59"/>
      <c r="O59"/>
    </row>
    <row r="60" spans="1:15" ht="15.5" x14ac:dyDescent="0.35">
      <c r="A60" s="52" t="s">
        <v>75</v>
      </c>
      <c r="B60" s="54">
        <v>3</v>
      </c>
      <c r="C60" s="54">
        <v>63</v>
      </c>
      <c r="D60" s="54">
        <v>4</v>
      </c>
      <c r="E60" s="54">
        <v>58</v>
      </c>
      <c r="F60" s="54">
        <v>5</v>
      </c>
      <c r="G60" s="54">
        <v>86</v>
      </c>
      <c r="H60" s="54">
        <v>2</v>
      </c>
      <c r="I60" s="54">
        <v>89</v>
      </c>
      <c r="J60" s="54">
        <v>6</v>
      </c>
      <c r="K60" s="54">
        <v>63</v>
      </c>
      <c r="L60"/>
      <c r="M60"/>
      <c r="N60"/>
      <c r="O60"/>
    </row>
    <row r="61" spans="1:15" ht="15.5" x14ac:dyDescent="0.35">
      <c r="A61" s="52" t="s">
        <v>76</v>
      </c>
      <c r="B61" s="54">
        <v>27</v>
      </c>
      <c r="C61" s="54">
        <v>565</v>
      </c>
      <c r="D61" s="54">
        <v>24</v>
      </c>
      <c r="E61" s="54">
        <v>541</v>
      </c>
      <c r="F61" s="54">
        <v>17</v>
      </c>
      <c r="G61" s="54">
        <v>581</v>
      </c>
      <c r="H61" s="54">
        <v>30</v>
      </c>
      <c r="I61" s="54">
        <v>454</v>
      </c>
      <c r="J61" s="54">
        <v>24</v>
      </c>
      <c r="K61" s="54">
        <v>559</v>
      </c>
      <c r="L61"/>
      <c r="M61"/>
      <c r="N61"/>
      <c r="O61"/>
    </row>
    <row r="62" spans="1:15" ht="15.5" x14ac:dyDescent="0.35">
      <c r="A62" s="52" t="s">
        <v>77</v>
      </c>
      <c r="B62" s="54">
        <v>6</v>
      </c>
      <c r="C62" s="54">
        <v>148</v>
      </c>
      <c r="D62" s="54">
        <v>13</v>
      </c>
      <c r="E62" s="54">
        <v>145</v>
      </c>
      <c r="F62" s="54">
        <v>8</v>
      </c>
      <c r="G62" s="54">
        <v>141</v>
      </c>
      <c r="H62" s="54">
        <v>12</v>
      </c>
      <c r="I62" s="54">
        <v>114</v>
      </c>
      <c r="J62" s="54">
        <v>11</v>
      </c>
      <c r="K62" s="54">
        <v>193</v>
      </c>
      <c r="L62"/>
      <c r="M62"/>
      <c r="N62"/>
      <c r="O62"/>
    </row>
    <row r="63" spans="1:15" ht="15.5" x14ac:dyDescent="0.35">
      <c r="A63" s="52" t="s">
        <v>78</v>
      </c>
      <c r="B63" s="54">
        <v>4</v>
      </c>
      <c r="C63" s="54">
        <v>42</v>
      </c>
      <c r="D63" s="54">
        <v>3</v>
      </c>
      <c r="E63" s="54">
        <v>71</v>
      </c>
      <c r="F63" s="54">
        <v>3</v>
      </c>
      <c r="G63" s="54">
        <v>53</v>
      </c>
      <c r="H63" s="54">
        <v>1</v>
      </c>
      <c r="I63" s="54">
        <v>74</v>
      </c>
      <c r="J63" s="54">
        <v>3</v>
      </c>
      <c r="K63" s="54">
        <v>91</v>
      </c>
      <c r="L63"/>
      <c r="M63"/>
      <c r="N63"/>
      <c r="O63"/>
    </row>
    <row r="64" spans="1:15" ht="15.5" x14ac:dyDescent="0.35">
      <c r="A64" s="55" t="s">
        <v>276</v>
      </c>
      <c r="B64" s="54">
        <v>1294</v>
      </c>
      <c r="C64" s="54">
        <v>26967</v>
      </c>
      <c r="D64" s="54">
        <v>1221</v>
      </c>
      <c r="E64" s="54">
        <v>27425</v>
      </c>
      <c r="F64" s="54">
        <v>1187</v>
      </c>
      <c r="G64" s="54">
        <v>27333</v>
      </c>
      <c r="H64" s="54">
        <v>1266</v>
      </c>
      <c r="I64" s="54">
        <v>23333</v>
      </c>
      <c r="J64" s="54">
        <v>1344</v>
      </c>
      <c r="K64" s="54">
        <v>28582</v>
      </c>
      <c r="L64"/>
      <c r="M64"/>
      <c r="N64"/>
      <c r="O64"/>
    </row>
    <row r="65" spans="2:11" x14ac:dyDescent="0.3"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712B-A2AD-486F-BF5F-2DA709A141BB}">
  <dimension ref="A1:O19"/>
  <sheetViews>
    <sheetView workbookViewId="0">
      <selection activeCell="A2" sqref="A2"/>
    </sheetView>
  </sheetViews>
  <sheetFormatPr defaultColWidth="9.1796875" defaultRowHeight="15.5" x14ac:dyDescent="0.35"/>
  <cols>
    <col min="1" max="1" width="35.6328125" style="11" bestFit="1" customWidth="1"/>
    <col min="2" max="2" width="8.54296875" style="11" bestFit="1" customWidth="1"/>
    <col min="3" max="3" width="8" style="11" bestFit="1" customWidth="1"/>
    <col min="4" max="4" width="8.54296875" style="11" bestFit="1" customWidth="1"/>
    <col min="5" max="5" width="8" style="11" bestFit="1" customWidth="1"/>
    <col min="6" max="6" width="8.54296875" style="11" bestFit="1" customWidth="1"/>
    <col min="7" max="7" width="8" style="11" bestFit="1" customWidth="1"/>
    <col min="8" max="8" width="8.54296875" style="11" bestFit="1" customWidth="1"/>
    <col min="9" max="9" width="8" style="11" bestFit="1" customWidth="1"/>
    <col min="10" max="10" width="8.54296875" style="11" bestFit="1" customWidth="1"/>
    <col min="11" max="11" width="8" style="11" bestFit="1" customWidth="1"/>
    <col min="12" max="12" width="9.1796875" style="11"/>
    <col min="13" max="13" width="9.81640625" style="11" bestFit="1" customWidth="1"/>
    <col min="14" max="14" width="9.1796875" style="11"/>
    <col min="15" max="15" width="9.81640625" style="11" bestFit="1" customWidth="1"/>
    <col min="16" max="16384" width="9.1796875" style="11"/>
  </cols>
  <sheetData>
    <row r="1" spans="1:15" ht="17.5" x14ac:dyDescent="0.35">
      <c r="A1" s="2" t="str">
        <f>Parameters!$A$21</f>
        <v>TABLE 5E PERSONS KILLED AND INJURED IN ALCOHOL INVOLVED CRASHES BY VICTIM TYPE 2017-2021</v>
      </c>
    </row>
    <row r="3" spans="1:15" x14ac:dyDescent="0.35">
      <c r="A3" s="96" t="s">
        <v>16</v>
      </c>
      <c r="B3" s="103" t="s">
        <v>16</v>
      </c>
      <c r="C3" s="97"/>
      <c r="D3" s="97"/>
      <c r="E3" s="97"/>
      <c r="F3" s="97"/>
      <c r="G3" s="97"/>
      <c r="H3" s="97"/>
      <c r="I3" s="97"/>
      <c r="J3" s="97"/>
      <c r="K3" s="97"/>
      <c r="L3"/>
      <c r="M3"/>
      <c r="N3"/>
      <c r="O3"/>
    </row>
    <row r="4" spans="1:15" x14ac:dyDescent="0.35">
      <c r="A4" s="97"/>
      <c r="B4" s="32">
        <v>2017</v>
      </c>
      <c r="C4" s="32"/>
      <c r="D4" s="32">
        <v>2018</v>
      </c>
      <c r="E4" s="32"/>
      <c r="F4" s="32">
        <v>2019</v>
      </c>
      <c r="G4" s="32"/>
      <c r="H4" s="32">
        <v>2020</v>
      </c>
      <c r="I4" s="32"/>
      <c r="J4" s="32">
        <v>2021</v>
      </c>
      <c r="K4" s="32"/>
      <c r="L4"/>
      <c r="M4"/>
      <c r="N4"/>
      <c r="O4"/>
    </row>
    <row r="5" spans="1:15" x14ac:dyDescent="0.35">
      <c r="A5" s="96" t="s">
        <v>16</v>
      </c>
      <c r="B5" s="98" t="s">
        <v>79</v>
      </c>
      <c r="C5" s="98" t="s">
        <v>80</v>
      </c>
      <c r="D5" s="98" t="s">
        <v>79</v>
      </c>
      <c r="E5" s="98" t="s">
        <v>80</v>
      </c>
      <c r="F5" s="98" t="s">
        <v>79</v>
      </c>
      <c r="G5" s="98" t="s">
        <v>80</v>
      </c>
      <c r="H5" s="98" t="s">
        <v>79</v>
      </c>
      <c r="I5" s="98" t="s">
        <v>80</v>
      </c>
      <c r="J5" s="98" t="s">
        <v>79</v>
      </c>
      <c r="K5" s="98" t="s">
        <v>80</v>
      </c>
      <c r="L5"/>
      <c r="M5"/>
      <c r="N5"/>
      <c r="O5"/>
    </row>
    <row r="6" spans="1:15" x14ac:dyDescent="0.35">
      <c r="A6" s="99" t="s">
        <v>287</v>
      </c>
      <c r="B6" s="101">
        <v>587</v>
      </c>
      <c r="C6" s="101">
        <v>11874</v>
      </c>
      <c r="D6" s="101">
        <v>533</v>
      </c>
      <c r="E6" s="101">
        <v>12126</v>
      </c>
      <c r="F6" s="101">
        <v>547</v>
      </c>
      <c r="G6" s="101">
        <v>12079</v>
      </c>
      <c r="H6" s="101">
        <v>604</v>
      </c>
      <c r="I6" s="101">
        <v>10924</v>
      </c>
      <c r="J6" s="101">
        <v>630</v>
      </c>
      <c r="K6" s="101">
        <v>13460</v>
      </c>
      <c r="L6"/>
      <c r="M6"/>
      <c r="N6"/>
      <c r="O6"/>
    </row>
    <row r="7" spans="1:15" x14ac:dyDescent="0.35">
      <c r="A7" s="99" t="s">
        <v>81</v>
      </c>
      <c r="B7" s="101">
        <v>249</v>
      </c>
      <c r="C7" s="101">
        <v>1059</v>
      </c>
      <c r="D7" s="101">
        <v>265</v>
      </c>
      <c r="E7" s="101">
        <v>1065</v>
      </c>
      <c r="F7" s="101">
        <v>253</v>
      </c>
      <c r="G7" s="101">
        <v>1087</v>
      </c>
      <c r="H7" s="101">
        <v>225</v>
      </c>
      <c r="I7" s="101">
        <v>772</v>
      </c>
      <c r="J7" s="101">
        <v>190</v>
      </c>
      <c r="K7" s="101">
        <v>781</v>
      </c>
      <c r="L7"/>
      <c r="M7"/>
      <c r="N7"/>
      <c r="O7"/>
    </row>
    <row r="8" spans="1:15" x14ac:dyDescent="0.35">
      <c r="A8" s="99" t="s">
        <v>82</v>
      </c>
      <c r="B8" s="101">
        <v>29</v>
      </c>
      <c r="C8" s="101">
        <v>446</v>
      </c>
      <c r="D8" s="101">
        <v>25</v>
      </c>
      <c r="E8" s="101">
        <v>451</v>
      </c>
      <c r="F8" s="101">
        <v>25</v>
      </c>
      <c r="G8" s="101">
        <v>384</v>
      </c>
      <c r="H8" s="101">
        <v>33</v>
      </c>
      <c r="I8" s="101">
        <v>346</v>
      </c>
      <c r="J8" s="101">
        <v>13</v>
      </c>
      <c r="K8" s="101">
        <v>328</v>
      </c>
      <c r="L8"/>
      <c r="M8"/>
      <c r="N8"/>
      <c r="O8"/>
    </row>
    <row r="9" spans="1:15" x14ac:dyDescent="0.35">
      <c r="A9" s="99" t="s">
        <v>83</v>
      </c>
      <c r="B9" s="101">
        <v>174</v>
      </c>
      <c r="C9" s="101">
        <v>3468</v>
      </c>
      <c r="D9" s="101">
        <v>136</v>
      </c>
      <c r="E9" s="101">
        <v>3381</v>
      </c>
      <c r="F9" s="101">
        <v>142</v>
      </c>
      <c r="G9" s="101">
        <v>3318</v>
      </c>
      <c r="H9" s="101">
        <v>176</v>
      </c>
      <c r="I9" s="101">
        <v>3139</v>
      </c>
      <c r="J9" s="101">
        <v>172</v>
      </c>
      <c r="K9" s="101">
        <v>3502</v>
      </c>
      <c r="L9"/>
      <c r="M9"/>
      <c r="N9"/>
      <c r="O9"/>
    </row>
    <row r="10" spans="1:15" x14ac:dyDescent="0.35">
      <c r="A10" s="99" t="s">
        <v>288</v>
      </c>
      <c r="B10" s="101">
        <v>113</v>
      </c>
      <c r="C10" s="101">
        <v>5582</v>
      </c>
      <c r="D10" s="101">
        <v>93</v>
      </c>
      <c r="E10" s="101">
        <v>5810</v>
      </c>
      <c r="F10" s="101">
        <v>87</v>
      </c>
      <c r="G10" s="101">
        <v>5803</v>
      </c>
      <c r="H10" s="101">
        <v>109</v>
      </c>
      <c r="I10" s="101">
        <v>4708</v>
      </c>
      <c r="J10" s="101">
        <v>151</v>
      </c>
      <c r="K10" s="101">
        <v>6145</v>
      </c>
      <c r="L10"/>
      <c r="M10"/>
      <c r="N10"/>
      <c r="O10"/>
    </row>
    <row r="11" spans="1:15" x14ac:dyDescent="0.35">
      <c r="A11" s="99" t="s">
        <v>84</v>
      </c>
      <c r="B11" s="101">
        <v>62</v>
      </c>
      <c r="C11" s="101">
        <v>535</v>
      </c>
      <c r="D11" s="101">
        <v>78</v>
      </c>
      <c r="E11" s="101">
        <v>526</v>
      </c>
      <c r="F11" s="101">
        <v>63</v>
      </c>
      <c r="G11" s="101">
        <v>525</v>
      </c>
      <c r="H11" s="101">
        <v>65</v>
      </c>
      <c r="I11" s="101">
        <v>423</v>
      </c>
      <c r="J11" s="101">
        <v>82</v>
      </c>
      <c r="K11" s="101">
        <v>473</v>
      </c>
      <c r="L11"/>
      <c r="M11"/>
      <c r="N11"/>
      <c r="O11"/>
    </row>
    <row r="12" spans="1:15" x14ac:dyDescent="0.35">
      <c r="A12" s="99" t="s">
        <v>85</v>
      </c>
      <c r="B12" s="101">
        <v>14</v>
      </c>
      <c r="C12" s="101">
        <v>169</v>
      </c>
      <c r="D12" s="101">
        <v>9</v>
      </c>
      <c r="E12" s="101">
        <v>175</v>
      </c>
      <c r="F12" s="101">
        <v>10</v>
      </c>
      <c r="G12" s="101">
        <v>173</v>
      </c>
      <c r="H12" s="101">
        <v>10</v>
      </c>
      <c r="I12" s="101">
        <v>159</v>
      </c>
      <c r="J12" s="101">
        <v>18</v>
      </c>
      <c r="K12" s="101">
        <v>140</v>
      </c>
      <c r="L12"/>
      <c r="M12"/>
      <c r="N12"/>
      <c r="O12"/>
    </row>
    <row r="13" spans="1:15" x14ac:dyDescent="0.35">
      <c r="A13" s="99" t="s">
        <v>86</v>
      </c>
      <c r="B13" s="101">
        <v>66</v>
      </c>
      <c r="C13" s="101">
        <v>3834</v>
      </c>
      <c r="D13" s="101">
        <v>82</v>
      </c>
      <c r="E13" s="101">
        <v>3891</v>
      </c>
      <c r="F13" s="101">
        <v>60</v>
      </c>
      <c r="G13" s="101">
        <v>3964</v>
      </c>
      <c r="H13" s="101">
        <v>44</v>
      </c>
      <c r="I13" s="101">
        <v>2862</v>
      </c>
      <c r="J13" s="101">
        <v>88</v>
      </c>
      <c r="K13" s="101">
        <v>3751</v>
      </c>
      <c r="L13"/>
      <c r="M13"/>
      <c r="N13"/>
      <c r="O13"/>
    </row>
    <row r="14" spans="1:15" x14ac:dyDescent="0.35">
      <c r="A14" s="99" t="s">
        <v>95</v>
      </c>
      <c r="B14" s="101">
        <v>0</v>
      </c>
      <c r="C14" s="101">
        <v>0</v>
      </c>
      <c r="D14" s="101">
        <v>0</v>
      </c>
      <c r="E14" s="101">
        <v>0</v>
      </c>
      <c r="F14" s="101">
        <v>0</v>
      </c>
      <c r="G14" s="101">
        <v>0</v>
      </c>
      <c r="H14" s="101">
        <v>0</v>
      </c>
      <c r="I14" s="101">
        <v>0</v>
      </c>
      <c r="J14" s="101">
        <v>0</v>
      </c>
      <c r="K14" s="101">
        <v>2</v>
      </c>
      <c r="L14"/>
      <c r="M14"/>
      <c r="N14"/>
      <c r="O14"/>
    </row>
    <row r="15" spans="1:15" x14ac:dyDescent="0.35">
      <c r="A15" s="100" t="s">
        <v>276</v>
      </c>
      <c r="B15" s="102">
        <v>1294</v>
      </c>
      <c r="C15" s="102">
        <v>26967</v>
      </c>
      <c r="D15" s="102">
        <v>1221</v>
      </c>
      <c r="E15" s="102">
        <v>27425</v>
      </c>
      <c r="F15" s="102">
        <v>1187</v>
      </c>
      <c r="G15" s="102">
        <v>27333</v>
      </c>
      <c r="H15" s="102">
        <v>1266</v>
      </c>
      <c r="I15" s="102">
        <v>23333</v>
      </c>
      <c r="J15" s="102">
        <v>1344</v>
      </c>
      <c r="K15" s="102">
        <v>28582</v>
      </c>
    </row>
    <row r="16" spans="1:15" ht="30.5" x14ac:dyDescent="0.35">
      <c r="A16" s="80" t="s">
        <v>292</v>
      </c>
      <c r="B16" s="81">
        <f>SUM(B6:B8)/B15*100</f>
        <v>66.846986089644517</v>
      </c>
      <c r="C16" s="81">
        <f t="shared" ref="C16" si="0">SUM(C6:C8)/C15*100</f>
        <v>49.612489338821526</v>
      </c>
      <c r="D16" s="81">
        <f t="shared" ref="D16" si="1">SUM(D6:D8)/D15*100</f>
        <v>67.403767403767404</v>
      </c>
      <c r="E16" s="81">
        <f t="shared" ref="E16" si="2">SUM(E6:E8)/E15*100</f>
        <v>49.742935278030991</v>
      </c>
      <c r="F16" s="81">
        <f t="shared" ref="F16" si="3">SUM(F6:F8)/F15*100</f>
        <v>69.502948609941029</v>
      </c>
      <c r="G16" s="81">
        <f t="shared" ref="G16" si="4">SUM(G6:G8)/G15*100</f>
        <v>49.57377528994256</v>
      </c>
      <c r="H16" s="81">
        <f t="shared" ref="H16" si="5">SUM(H6:H8)/H15*100</f>
        <v>68.088467614533968</v>
      </c>
      <c r="I16" s="81">
        <f t="shared" ref="I16" si="6">SUM(I6:I8)/I15*100</f>
        <v>51.609308704410061</v>
      </c>
      <c r="J16" s="81">
        <f t="shared" ref="J16" si="7">SUM(J6:J8)/J15*100</f>
        <v>61.979166666666664</v>
      </c>
      <c r="K16" s="81">
        <f t="shared" ref="K16" si="8">SUM(K6:K8)/K15*100</f>
        <v>50.972640123154434</v>
      </c>
    </row>
    <row r="17" spans="1:11" ht="45.5" x14ac:dyDescent="0.35">
      <c r="A17" s="12" t="s">
        <v>87</v>
      </c>
      <c r="B17" s="13">
        <f>SUM(B9:B14)/B15*100</f>
        <v>33.15301391035549</v>
      </c>
      <c r="C17" s="13">
        <f>SUM(C9:C14)/C15*100</f>
        <v>50.387510661178482</v>
      </c>
      <c r="D17" s="13">
        <f t="shared" ref="D17:K17" si="9">SUM(D9:D14)/D15*100</f>
        <v>32.596232596232596</v>
      </c>
      <c r="E17" s="13">
        <f t="shared" si="9"/>
        <v>50.257064721969002</v>
      </c>
      <c r="F17" s="13">
        <f t="shared" si="9"/>
        <v>30.497051390058971</v>
      </c>
      <c r="G17" s="13">
        <f t="shared" si="9"/>
        <v>50.42622471005744</v>
      </c>
      <c r="H17" s="13">
        <f t="shared" si="9"/>
        <v>31.911532385466035</v>
      </c>
      <c r="I17" s="13">
        <f t="shared" si="9"/>
        <v>48.390691295589939</v>
      </c>
      <c r="J17" s="13">
        <f t="shared" si="9"/>
        <v>38.020833333333329</v>
      </c>
      <c r="K17" s="13">
        <f t="shared" si="9"/>
        <v>49.027359876845566</v>
      </c>
    </row>
    <row r="18" spans="1:11" ht="5.25" customHeight="1" x14ac:dyDescent="0.35"/>
    <row r="19" spans="1:11" ht="20.149999999999999" customHeight="1" x14ac:dyDescent="0.35">
      <c r="A19" s="95" t="s">
        <v>290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E3682-3E1A-4286-B1E8-C8BA2B928C14}">
  <sheetPr>
    <pageSetUpPr fitToPage="1"/>
  </sheetPr>
  <dimension ref="A1:J26"/>
  <sheetViews>
    <sheetView workbookViewId="0">
      <selection activeCell="A3" sqref="A3"/>
    </sheetView>
  </sheetViews>
  <sheetFormatPr defaultRowHeight="14.5" x14ac:dyDescent="0.35"/>
  <cols>
    <col min="1" max="1" width="36" bestFit="1" customWidth="1"/>
    <col min="2" max="2" width="19.81640625" bestFit="1" customWidth="1"/>
    <col min="3" max="3" width="13" bestFit="1" customWidth="1"/>
    <col min="4" max="4" width="11.81640625" bestFit="1" customWidth="1"/>
    <col min="5" max="5" width="12.81640625" bestFit="1" customWidth="1"/>
    <col min="6" max="6" width="13" bestFit="1" customWidth="1"/>
    <col min="7" max="7" width="14.54296875" bestFit="1" customWidth="1"/>
    <col min="8" max="8" width="14" bestFit="1" customWidth="1"/>
    <col min="9" max="9" width="7.81640625" bestFit="1" customWidth="1"/>
    <col min="10" max="10" width="8.453125" bestFit="1" customWidth="1"/>
    <col min="11" max="11" width="11.26953125" bestFit="1" customWidth="1"/>
  </cols>
  <sheetData>
    <row r="1" spans="1:10" ht="17.5" x14ac:dyDescent="0.35">
      <c r="A1" s="2" t="str">
        <f>Parameters!A24</f>
        <v>TABLE 5F MOTOR VEHICLE DRIVERS IN ALCOHOL INVOLVED FATAL AND INJURY CRASHES BY TYPE OF CRASH BY</v>
      </c>
    </row>
    <row r="2" spans="1:10" ht="17.5" x14ac:dyDescent="0.35">
      <c r="A2" s="2" t="str">
        <f>Parameters!A25</f>
        <v>MOVEMENT PRECEDING CRASH - 2021</v>
      </c>
    </row>
    <row r="4" spans="1:10" ht="15.5" x14ac:dyDescent="0.35">
      <c r="A4" s="59" t="s">
        <v>16</v>
      </c>
      <c r="B4" s="76" t="s">
        <v>16</v>
      </c>
      <c r="C4" s="60"/>
      <c r="D4" s="60"/>
      <c r="E4" s="60"/>
      <c r="F4" s="60"/>
      <c r="G4" s="60"/>
      <c r="H4" s="60"/>
      <c r="I4" s="60"/>
      <c r="J4" s="60"/>
    </row>
    <row r="5" spans="1:10" ht="30.5" x14ac:dyDescent="0.35">
      <c r="A5" s="65" t="s">
        <v>278</v>
      </c>
      <c r="B5" s="66" t="s">
        <v>88</v>
      </c>
      <c r="C5" s="66" t="s">
        <v>89</v>
      </c>
      <c r="D5" s="66" t="s">
        <v>90</v>
      </c>
      <c r="E5" s="66" t="s">
        <v>91</v>
      </c>
      <c r="F5" s="66" t="s">
        <v>92</v>
      </c>
      <c r="G5" s="66" t="s">
        <v>93</v>
      </c>
      <c r="H5" s="70" t="s">
        <v>94</v>
      </c>
      <c r="I5" s="66" t="s">
        <v>95</v>
      </c>
      <c r="J5" s="66" t="s">
        <v>276</v>
      </c>
    </row>
    <row r="6" spans="1:10" ht="15.5" x14ac:dyDescent="0.35">
      <c r="A6" s="61" t="s">
        <v>96</v>
      </c>
      <c r="B6" s="62">
        <v>34</v>
      </c>
      <c r="C6" s="62">
        <v>44</v>
      </c>
      <c r="D6" s="62">
        <v>331</v>
      </c>
      <c r="E6" s="62">
        <v>83</v>
      </c>
      <c r="F6" s="62">
        <v>12</v>
      </c>
      <c r="G6" s="62">
        <v>7</v>
      </c>
      <c r="H6" s="62">
        <v>8</v>
      </c>
      <c r="I6" s="62">
        <v>12</v>
      </c>
      <c r="J6" s="62">
        <v>531</v>
      </c>
    </row>
    <row r="7" spans="1:10" ht="15.5" x14ac:dyDescent="0.35">
      <c r="A7" s="61" t="s">
        <v>97</v>
      </c>
      <c r="B7" s="62">
        <v>755</v>
      </c>
      <c r="C7" s="62">
        <v>889</v>
      </c>
      <c r="D7" s="62">
        <v>4300</v>
      </c>
      <c r="E7" s="62">
        <v>2112</v>
      </c>
      <c r="F7" s="62">
        <v>1564</v>
      </c>
      <c r="G7" s="62">
        <v>312</v>
      </c>
      <c r="H7" s="62">
        <v>339</v>
      </c>
      <c r="I7" s="62">
        <v>196</v>
      </c>
      <c r="J7" s="62">
        <v>10467</v>
      </c>
    </row>
    <row r="8" spans="1:10" ht="15.5" x14ac:dyDescent="0.35">
      <c r="A8" s="61" t="s">
        <v>98</v>
      </c>
      <c r="B8" s="62">
        <v>51</v>
      </c>
      <c r="C8" s="62">
        <v>29</v>
      </c>
      <c r="D8" s="62">
        <v>23</v>
      </c>
      <c r="E8" s="62">
        <v>16</v>
      </c>
      <c r="F8" s="62">
        <v>1139</v>
      </c>
      <c r="G8" s="62">
        <v>261</v>
      </c>
      <c r="H8" s="62">
        <v>5</v>
      </c>
      <c r="I8" s="62">
        <v>19</v>
      </c>
      <c r="J8" s="62">
        <v>1543</v>
      </c>
    </row>
    <row r="9" spans="1:10" ht="15.5" x14ac:dyDescent="0.35">
      <c r="A9" s="61" t="s">
        <v>99</v>
      </c>
      <c r="B9" s="62">
        <v>73</v>
      </c>
      <c r="C9" s="62">
        <v>80</v>
      </c>
      <c r="D9" s="62">
        <v>32</v>
      </c>
      <c r="E9" s="62">
        <v>131</v>
      </c>
      <c r="F9" s="62">
        <v>128</v>
      </c>
      <c r="G9" s="62">
        <v>21</v>
      </c>
      <c r="H9" s="62">
        <v>29</v>
      </c>
      <c r="I9" s="62">
        <v>24</v>
      </c>
      <c r="J9" s="62">
        <v>518</v>
      </c>
    </row>
    <row r="10" spans="1:10" ht="15.5" x14ac:dyDescent="0.35">
      <c r="A10" s="61" t="s">
        <v>100</v>
      </c>
      <c r="B10" s="62">
        <v>224</v>
      </c>
      <c r="C10" s="62">
        <v>79</v>
      </c>
      <c r="D10" s="62">
        <v>48</v>
      </c>
      <c r="E10" s="62">
        <v>574</v>
      </c>
      <c r="F10" s="62">
        <v>175</v>
      </c>
      <c r="G10" s="62">
        <v>26</v>
      </c>
      <c r="H10" s="62">
        <v>62</v>
      </c>
      <c r="I10" s="62">
        <v>29</v>
      </c>
      <c r="J10" s="62">
        <v>1217</v>
      </c>
    </row>
    <row r="11" spans="1:10" ht="15.5" x14ac:dyDescent="0.35">
      <c r="A11" s="61" t="s">
        <v>101</v>
      </c>
      <c r="B11" s="62">
        <v>11</v>
      </c>
      <c r="C11" s="62">
        <v>17</v>
      </c>
      <c r="D11" s="62">
        <v>12</v>
      </c>
      <c r="E11" s="62">
        <v>89</v>
      </c>
      <c r="F11" s="62">
        <v>15</v>
      </c>
      <c r="G11" s="62">
        <v>1</v>
      </c>
      <c r="H11" s="62">
        <v>3</v>
      </c>
      <c r="I11" s="62">
        <v>4</v>
      </c>
      <c r="J11" s="62">
        <v>152</v>
      </c>
    </row>
    <row r="12" spans="1:10" ht="15.5" x14ac:dyDescent="0.35">
      <c r="A12" s="61" t="s">
        <v>102</v>
      </c>
      <c r="B12" s="62">
        <v>0</v>
      </c>
      <c r="C12" s="62">
        <v>4</v>
      </c>
      <c r="D12" s="62">
        <v>23</v>
      </c>
      <c r="E12" s="62">
        <v>8</v>
      </c>
      <c r="F12" s="62">
        <v>9</v>
      </c>
      <c r="G12" s="62">
        <v>1</v>
      </c>
      <c r="H12" s="62">
        <v>11</v>
      </c>
      <c r="I12" s="62">
        <v>19</v>
      </c>
      <c r="J12" s="62">
        <v>75</v>
      </c>
    </row>
    <row r="13" spans="1:10" ht="15.5" x14ac:dyDescent="0.35">
      <c r="A13" s="61" t="s">
        <v>103</v>
      </c>
      <c r="B13" s="62">
        <v>5</v>
      </c>
      <c r="C13" s="62">
        <v>3</v>
      </c>
      <c r="D13" s="62">
        <v>163</v>
      </c>
      <c r="E13" s="62">
        <v>11</v>
      </c>
      <c r="F13" s="62">
        <v>14</v>
      </c>
      <c r="G13" s="62">
        <v>6</v>
      </c>
      <c r="H13" s="62">
        <v>2</v>
      </c>
      <c r="I13" s="62">
        <v>3</v>
      </c>
      <c r="J13" s="62">
        <v>207</v>
      </c>
    </row>
    <row r="14" spans="1:10" ht="15.5" x14ac:dyDescent="0.35">
      <c r="A14" s="61" t="s">
        <v>104</v>
      </c>
      <c r="B14" s="62">
        <v>18</v>
      </c>
      <c r="C14" s="62">
        <v>43</v>
      </c>
      <c r="D14" s="62">
        <v>16</v>
      </c>
      <c r="E14" s="62">
        <v>20</v>
      </c>
      <c r="F14" s="62">
        <v>16</v>
      </c>
      <c r="G14" s="62">
        <v>11</v>
      </c>
      <c r="H14" s="62">
        <v>3</v>
      </c>
      <c r="I14" s="62">
        <v>0</v>
      </c>
      <c r="J14" s="62">
        <v>127</v>
      </c>
    </row>
    <row r="15" spans="1:10" ht="15.5" x14ac:dyDescent="0.35">
      <c r="A15" s="61" t="s">
        <v>105</v>
      </c>
      <c r="B15" s="62">
        <v>5</v>
      </c>
      <c r="C15" s="62">
        <v>301</v>
      </c>
      <c r="D15" s="62">
        <v>160</v>
      </c>
      <c r="E15" s="62">
        <v>16</v>
      </c>
      <c r="F15" s="62">
        <v>30</v>
      </c>
      <c r="G15" s="62">
        <v>7</v>
      </c>
      <c r="H15" s="62">
        <v>2</v>
      </c>
      <c r="I15" s="62">
        <v>6</v>
      </c>
      <c r="J15" s="62">
        <v>527</v>
      </c>
    </row>
    <row r="16" spans="1:10" ht="15.5" x14ac:dyDescent="0.35">
      <c r="A16" s="61" t="s">
        <v>106</v>
      </c>
      <c r="B16" s="62">
        <v>0</v>
      </c>
      <c r="C16" s="62">
        <v>2</v>
      </c>
      <c r="D16" s="62">
        <v>1</v>
      </c>
      <c r="E16" s="62">
        <v>1</v>
      </c>
      <c r="F16" s="62">
        <v>3</v>
      </c>
      <c r="G16" s="62">
        <v>1</v>
      </c>
      <c r="H16" s="62">
        <v>0</v>
      </c>
      <c r="I16" s="62">
        <v>1</v>
      </c>
      <c r="J16" s="62">
        <v>9</v>
      </c>
    </row>
    <row r="17" spans="1:10" ht="15.5" x14ac:dyDescent="0.35">
      <c r="A17" s="61" t="s">
        <v>107</v>
      </c>
      <c r="B17" s="62">
        <v>6</v>
      </c>
      <c r="C17" s="62">
        <v>15</v>
      </c>
      <c r="D17" s="62">
        <v>6</v>
      </c>
      <c r="E17" s="62">
        <v>94</v>
      </c>
      <c r="F17" s="62">
        <v>5</v>
      </c>
      <c r="G17" s="62">
        <v>1</v>
      </c>
      <c r="H17" s="62">
        <v>10</v>
      </c>
      <c r="I17" s="62">
        <v>3</v>
      </c>
      <c r="J17" s="62">
        <v>140</v>
      </c>
    </row>
    <row r="18" spans="1:10" ht="15.5" x14ac:dyDescent="0.35">
      <c r="A18" s="61" t="s">
        <v>108</v>
      </c>
      <c r="B18" s="62">
        <v>132</v>
      </c>
      <c r="C18" s="62">
        <v>259</v>
      </c>
      <c r="D18" s="62">
        <v>238</v>
      </c>
      <c r="E18" s="62">
        <v>74</v>
      </c>
      <c r="F18" s="62">
        <v>1319</v>
      </c>
      <c r="G18" s="62">
        <v>310</v>
      </c>
      <c r="H18" s="62">
        <v>23</v>
      </c>
      <c r="I18" s="62">
        <v>13</v>
      </c>
      <c r="J18" s="62">
        <v>2368</v>
      </c>
    </row>
    <row r="19" spans="1:10" ht="15.5" x14ac:dyDescent="0.35">
      <c r="A19" s="61" t="s">
        <v>109</v>
      </c>
      <c r="B19" s="62">
        <v>238</v>
      </c>
      <c r="C19" s="62">
        <v>95</v>
      </c>
      <c r="D19" s="62">
        <v>1</v>
      </c>
      <c r="E19" s="62">
        <v>24</v>
      </c>
      <c r="F19" s="62">
        <v>25</v>
      </c>
      <c r="G19" s="62">
        <v>5</v>
      </c>
      <c r="H19" s="62">
        <v>0</v>
      </c>
      <c r="I19" s="62">
        <v>5</v>
      </c>
      <c r="J19" s="62">
        <v>393</v>
      </c>
    </row>
    <row r="20" spans="1:10" ht="15.5" x14ac:dyDescent="0.35">
      <c r="A20" s="61" t="s">
        <v>110</v>
      </c>
      <c r="B20" s="62">
        <v>0</v>
      </c>
      <c r="C20" s="62">
        <v>5</v>
      </c>
      <c r="D20" s="62">
        <v>4</v>
      </c>
      <c r="E20" s="62">
        <v>2</v>
      </c>
      <c r="F20" s="62">
        <v>4</v>
      </c>
      <c r="G20" s="62">
        <v>0</v>
      </c>
      <c r="H20" s="62">
        <v>1</v>
      </c>
      <c r="I20" s="62">
        <v>2</v>
      </c>
      <c r="J20" s="62">
        <v>18</v>
      </c>
    </row>
    <row r="21" spans="1:10" ht="15.5" x14ac:dyDescent="0.35">
      <c r="A21" s="61" t="s">
        <v>111</v>
      </c>
      <c r="B21" s="62">
        <v>0</v>
      </c>
      <c r="C21" s="62">
        <v>13</v>
      </c>
      <c r="D21" s="62">
        <v>3</v>
      </c>
      <c r="E21" s="62">
        <v>3</v>
      </c>
      <c r="F21" s="62">
        <v>1</v>
      </c>
      <c r="G21" s="62">
        <v>1</v>
      </c>
      <c r="H21" s="62">
        <v>0</v>
      </c>
      <c r="I21" s="62">
        <v>0</v>
      </c>
      <c r="J21" s="62">
        <v>21</v>
      </c>
    </row>
    <row r="22" spans="1:10" ht="15.5" x14ac:dyDescent="0.35">
      <c r="A22" s="61" t="s">
        <v>112</v>
      </c>
      <c r="B22" s="62">
        <v>175</v>
      </c>
      <c r="C22" s="62">
        <v>43</v>
      </c>
      <c r="D22" s="62">
        <v>2</v>
      </c>
      <c r="E22" s="62">
        <v>18</v>
      </c>
      <c r="F22" s="62">
        <v>29</v>
      </c>
      <c r="G22" s="62">
        <v>3</v>
      </c>
      <c r="H22" s="62">
        <v>2</v>
      </c>
      <c r="I22" s="62">
        <v>6</v>
      </c>
      <c r="J22" s="62">
        <v>278</v>
      </c>
    </row>
    <row r="23" spans="1:10" ht="15.5" x14ac:dyDescent="0.35">
      <c r="A23" s="61" t="s">
        <v>95</v>
      </c>
      <c r="B23" s="62">
        <v>23</v>
      </c>
      <c r="C23" s="62">
        <v>253</v>
      </c>
      <c r="D23" s="62">
        <v>185</v>
      </c>
      <c r="E23" s="62">
        <v>41</v>
      </c>
      <c r="F23" s="62">
        <v>1385</v>
      </c>
      <c r="G23" s="62">
        <v>222</v>
      </c>
      <c r="H23" s="62">
        <v>15</v>
      </c>
      <c r="I23" s="62">
        <v>10</v>
      </c>
      <c r="J23" s="62">
        <v>2134</v>
      </c>
    </row>
    <row r="24" spans="1:10" ht="15.5" x14ac:dyDescent="0.35">
      <c r="A24" s="61" t="s">
        <v>291</v>
      </c>
      <c r="B24" s="62">
        <v>0</v>
      </c>
      <c r="C24" s="62">
        <v>3</v>
      </c>
      <c r="D24" s="62">
        <v>5</v>
      </c>
      <c r="E24" s="62">
        <v>0</v>
      </c>
      <c r="F24" s="62">
        <v>1</v>
      </c>
      <c r="G24" s="62">
        <v>0</v>
      </c>
      <c r="H24" s="62">
        <v>0</v>
      </c>
      <c r="I24" s="62">
        <v>0</v>
      </c>
      <c r="J24" s="62">
        <v>9</v>
      </c>
    </row>
    <row r="25" spans="1:10" ht="15.5" x14ac:dyDescent="0.35">
      <c r="A25" s="61" t="s">
        <v>113</v>
      </c>
      <c r="B25" s="62">
        <v>10</v>
      </c>
      <c r="C25" s="62">
        <v>11</v>
      </c>
      <c r="D25" s="62">
        <v>24</v>
      </c>
      <c r="E25" s="62">
        <v>17</v>
      </c>
      <c r="F25" s="62">
        <v>9</v>
      </c>
      <c r="G25" s="62">
        <v>1</v>
      </c>
      <c r="H25" s="62">
        <v>7</v>
      </c>
      <c r="I25" s="62">
        <v>6</v>
      </c>
      <c r="J25" s="62">
        <v>85</v>
      </c>
    </row>
    <row r="26" spans="1:10" ht="15.5" x14ac:dyDescent="0.35">
      <c r="A26" s="67" t="s">
        <v>276</v>
      </c>
      <c r="B26" s="62">
        <v>1760</v>
      </c>
      <c r="C26" s="62">
        <v>2188</v>
      </c>
      <c r="D26" s="62">
        <v>5577</v>
      </c>
      <c r="E26" s="62">
        <v>3334</v>
      </c>
      <c r="F26" s="62">
        <v>5883</v>
      </c>
      <c r="G26" s="62">
        <v>1197</v>
      </c>
      <c r="H26" s="62">
        <v>522</v>
      </c>
      <c r="I26" s="62">
        <v>358</v>
      </c>
      <c r="J26" s="62">
        <v>20819</v>
      </c>
    </row>
  </sheetData>
  <pageMargins left="0.55000000000000004" right="0.55000000000000004" top="0.55000000000000004" bottom="0.55000000000000004" header="0.3" footer="0.3"/>
  <pageSetup scale="62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90B1E-030E-4CD7-A9F8-DE66A5581B9A}">
  <sheetPr>
    <pageSetUpPr fitToPage="1"/>
  </sheetPr>
  <dimension ref="A1:S17"/>
  <sheetViews>
    <sheetView workbookViewId="0">
      <selection activeCell="A2" sqref="A2"/>
    </sheetView>
  </sheetViews>
  <sheetFormatPr defaultRowHeight="14.5" x14ac:dyDescent="0.35"/>
  <cols>
    <col min="1" max="1" width="48.453125" bestFit="1" customWidth="1"/>
    <col min="3" max="3" width="11" customWidth="1"/>
    <col min="4" max="4" width="13.1796875" bestFit="1" customWidth="1"/>
    <col min="5" max="5" width="14" bestFit="1" customWidth="1"/>
    <col min="6" max="6" width="10.54296875" bestFit="1" customWidth="1"/>
    <col min="7" max="7" width="11.453125" customWidth="1"/>
    <col min="8" max="8" width="13.1796875" bestFit="1" customWidth="1"/>
    <col min="9" max="9" width="14" bestFit="1" customWidth="1"/>
    <col min="11" max="11" width="12.81640625" customWidth="1"/>
    <col min="12" max="12" width="13.1796875" bestFit="1" customWidth="1"/>
    <col min="13" max="13" width="14" bestFit="1" customWidth="1"/>
    <col min="15" max="15" width="12.26953125" customWidth="1"/>
    <col min="16" max="16" width="13.1796875" bestFit="1" customWidth="1"/>
    <col min="17" max="17" width="14.453125" customWidth="1"/>
    <col min="18" max="18" width="10.453125" customWidth="1"/>
  </cols>
  <sheetData>
    <row r="1" spans="1:19" ht="17.5" x14ac:dyDescent="0.35">
      <c r="A1" s="2" t="str">
        <f>Parameters!$A$28</f>
        <v>TABLE 5G PARTIES IN FATAL AND INJURY CRASHES BY SEX BY DEGREE OF ALCOHOL IMPAIRMENT - 2021</v>
      </c>
    </row>
    <row r="3" spans="1:19" ht="15.75" customHeight="1" x14ac:dyDescent="0.35">
      <c r="A3" s="14"/>
      <c r="B3" s="39" t="s">
        <v>279</v>
      </c>
      <c r="C3" s="16"/>
      <c r="D3" s="17"/>
      <c r="E3" s="16"/>
      <c r="F3" s="16"/>
      <c r="G3" s="16"/>
      <c r="H3" s="16"/>
      <c r="I3" s="16"/>
      <c r="J3" s="39" t="s">
        <v>280</v>
      </c>
      <c r="K3" s="16"/>
      <c r="L3" s="16"/>
      <c r="M3" s="16"/>
      <c r="N3" s="16"/>
      <c r="O3" s="16"/>
      <c r="P3" s="16"/>
      <c r="Q3" s="16"/>
      <c r="R3" s="15"/>
    </row>
    <row r="4" spans="1:19" ht="15.5" x14ac:dyDescent="0.35">
      <c r="A4" s="14"/>
      <c r="B4" s="18" t="s">
        <v>2</v>
      </c>
      <c r="C4" s="17"/>
      <c r="D4" s="17"/>
      <c r="E4" s="17"/>
      <c r="F4" s="18" t="s">
        <v>3</v>
      </c>
      <c r="G4" s="17"/>
      <c r="H4" s="17"/>
      <c r="I4" s="17"/>
      <c r="J4" s="18" t="s">
        <v>2</v>
      </c>
      <c r="K4" s="17"/>
      <c r="L4" s="17"/>
      <c r="M4" s="17"/>
      <c r="N4" s="18" t="s">
        <v>3</v>
      </c>
      <c r="O4" s="17"/>
      <c r="P4" s="17"/>
      <c r="Q4" s="17"/>
      <c r="R4" s="17"/>
    </row>
    <row r="5" spans="1:19" ht="30" customHeight="1" x14ac:dyDescent="0.35">
      <c r="A5" s="38" t="s">
        <v>281</v>
      </c>
      <c r="B5" s="37" t="s">
        <v>118</v>
      </c>
      <c r="C5" s="37" t="s">
        <v>119</v>
      </c>
      <c r="D5" s="37" t="s">
        <v>120</v>
      </c>
      <c r="E5" s="37" t="s">
        <v>113</v>
      </c>
      <c r="F5" s="37" t="s">
        <v>118</v>
      </c>
      <c r="G5" s="37" t="s">
        <v>119</v>
      </c>
      <c r="H5" s="37" t="s">
        <v>120</v>
      </c>
      <c r="I5" s="37" t="s">
        <v>113</v>
      </c>
      <c r="J5" s="37" t="s">
        <v>118</v>
      </c>
      <c r="K5" s="37" t="s">
        <v>119</v>
      </c>
      <c r="L5" s="37" t="s">
        <v>120</v>
      </c>
      <c r="M5" s="37" t="s">
        <v>113</v>
      </c>
      <c r="N5" s="37" t="s">
        <v>118</v>
      </c>
      <c r="O5" s="37" t="s">
        <v>119</v>
      </c>
      <c r="P5" s="37" t="s">
        <v>120</v>
      </c>
      <c r="Q5" s="37" t="s">
        <v>113</v>
      </c>
      <c r="R5" s="32" t="s">
        <v>276</v>
      </c>
    </row>
    <row r="6" spans="1:19" ht="15.5" x14ac:dyDescent="0.35">
      <c r="A6" s="19" t="s">
        <v>289</v>
      </c>
      <c r="B6" s="20">
        <f>GETPIVOTDATA("Count",Parameters!$A$33,"DW Severity.Severity_Group_1","Fatal","DW Party_Type.Party_Type_2","MOTOR VEHICLE DRIVER","DW Sobriety.Sobriety","HAD BEEN DRINKING","Sex","Male")</f>
        <v>691</v>
      </c>
      <c r="C6" s="20">
        <f>GETPIVOTDATA("Count",Parameters!$A$33,"DW Severity.Severity_Group_1","Fatal","DW Party_Type.Party_Type_2","MOTOR VEHICLE DRIVER","DW Sobriety.Sobriety","HAD BEEN DRINKING","Sex","Female")</f>
        <v>157</v>
      </c>
      <c r="D6" s="20">
        <v>0</v>
      </c>
      <c r="E6" s="20">
        <f>GETPIVOTDATA("Count",Parameters!$A$33,"DW Severity.Severity_Group_1","Fatal","DW Party_Type.Party_Type_2","MOTOR VEHICLE DRIVER","DW Sobriety.Sobriety","HAD BEEN DRINKING","Sex","Not Stated")</f>
        <v>2</v>
      </c>
      <c r="F6" s="20">
        <f>GETPIVOTDATA("Count",Parameters!$A$33,"DW Severity.Severity_Group_1","Injury","DW Party_Type.Party_Type_2","MOTOR VEHICLE DRIVER","DW Sobriety.Sobriety","HAD BEEN DRINKING","Sex","Male")</f>
        <v>10913</v>
      </c>
      <c r="G6" s="20">
        <f>GETPIVOTDATA("Count",Parameters!$A$33,"DW Severity.Severity_Group_1","Injury","DW Party_Type.Party_Type_2","MOTOR VEHICLE DRIVER","DW Sobriety.Sobriety","HAD BEEN DRINKING","Sex","Female")</f>
        <v>3889</v>
      </c>
      <c r="H6" s="20">
        <f>GETPIVOTDATA("Count",Parameters!$A$33,"DW Severity.Severity_Group_1","Injury","DW Party_Type.Party_Type_2","MOTOR VEHICLE DRIVER","DW Sobriety.Sobriety","HAD BEEN DRINKING","Sex","Nonbinary")</f>
        <v>1</v>
      </c>
      <c r="I6" s="20">
        <f>GETPIVOTDATA("Count",Parameters!$A$33,"DW Severity.Severity_Group_1","Injury","DW Party_Type.Party_Type_2","MOTOR VEHICLE DRIVER","DW Sobriety.Sobriety","HAD BEEN DRINKING","Sex","Not Stated")</f>
        <v>60</v>
      </c>
      <c r="J6" s="20">
        <f>GETPIVOTDATA("Count",Parameters!$A$33,"DW Severity.Severity_Group_1","Fatal","DW Party_Type.Party_Type_2","PEDESTRIAN AND BICYCLIST","DW Sobriety.Sobriety","HAD BEEN DRINKING","Sex","Male")</f>
        <v>119</v>
      </c>
      <c r="K6" s="20">
        <f>GETPIVOTDATA("Count",Parameters!$A$33,"DW Severity.Severity_Group_1","Fatal","DW Party_Type.Party_Type_2","PEDESTRIAN AND BICYCLIST","DW Sobriety.Sobriety","HAD BEEN DRINKING","Sex","Female")</f>
        <v>24</v>
      </c>
      <c r="L6" s="20">
        <v>0</v>
      </c>
      <c r="M6" s="20">
        <f>GETPIVOTDATA("Count",Parameters!$A$33,"DW Severity.Severity_Group_1","Fatal","DW Party_Type.Party_Type_2","PEDESTRIAN AND BICYCLIST","DW Sobriety.Sobriety","HAD BEEN DRINKING","Sex","Not Stated")</f>
        <v>1</v>
      </c>
      <c r="N6" s="20">
        <f>GETPIVOTDATA("Count",Parameters!$A$33,"DW Severity.Severity_Group_1","Injury","DW Party_Type.Party_Type_2","PEDESTRIAN AND BICYCLIST","DW Sobriety.Sobriety","HAD BEEN DRINKING","Sex","Male")</f>
        <v>316</v>
      </c>
      <c r="O6" s="20">
        <f>GETPIVOTDATA("Count",Parameters!$A$33,"DW Severity.Severity_Group_1","Injury","DW Party_Type.Party_Type_2","PEDESTRIAN AND BICYCLIST","DW Sobriety.Sobriety","HAD BEEN DRINKING","Sex","Female")</f>
        <v>83</v>
      </c>
      <c r="P6" s="20">
        <v>0</v>
      </c>
      <c r="Q6" s="20">
        <f>GETPIVOTDATA("Count",Parameters!$A$33,"DW Severity.Severity_Group_1","Injury","DW Party_Type.Party_Type_2","PEDESTRIAN AND BICYCLIST","DW Sobriety.Sobriety","HAD BEEN DRINKING","Sex","Not Stated")</f>
        <v>4</v>
      </c>
      <c r="R6" s="94">
        <f>SUM(B6:Q6)</f>
        <v>16260</v>
      </c>
    </row>
    <row r="7" spans="1:19" ht="15.5" x14ac:dyDescent="0.35">
      <c r="A7" s="19" t="s">
        <v>122</v>
      </c>
      <c r="B7" s="20">
        <f>GETPIVOTDATA("Count",Parameters!$A$33,"DW Severity.Severity_Group_1","Fatal","DW Party_Type.Party_Type_2","MOTOR VEHICLE DRIVER","DW Sobriety.Sobriety","HBD, NOT UNDER INFLUENCE","Sex","Male")</f>
        <v>77</v>
      </c>
      <c r="C7" s="20">
        <f>GETPIVOTDATA("Count",Parameters!$A$33,"DW Severity.Severity_Group_1","Fatal","DW Party_Type.Party_Type_2","MOTOR VEHICLE DRIVER","DW Sobriety.Sobriety","HBD, NOT UNDER INFLUENCE","Sex","Female")</f>
        <v>20</v>
      </c>
      <c r="D7" s="20">
        <v>0</v>
      </c>
      <c r="E7" s="20">
        <f>GETPIVOTDATA("Count",Parameters!$A$33,"DW Severity.Severity_Group_1","Fatal","DW Party_Type.Party_Type_2","MOTOR VEHICLE DRIVER","DW Sobriety.Sobriety","HBD, NOT UNDER INFLUENCE","Sex","Not Stated")</f>
        <v>0</v>
      </c>
      <c r="F7" s="20">
        <f>GETPIVOTDATA("Count",Parameters!$A$33,"DW Severity.Severity_Group_1","Injury","DW Party_Type.Party_Type_2","MOTOR VEHICLE DRIVER","DW Sobriety.Sobriety","HBD, NOT UNDER INFLUENCE","Sex","Male")</f>
        <v>1948</v>
      </c>
      <c r="G7" s="20">
        <f>GETPIVOTDATA("Count",Parameters!$A$33,"DW Severity.Severity_Group_1","Injury","DW Party_Type.Party_Type_2","MOTOR VEHICLE DRIVER","DW Sobriety.Sobriety","HBD, NOT UNDER INFLUENCE","Sex","Female")</f>
        <v>1046</v>
      </c>
      <c r="H7" s="20">
        <f>GETPIVOTDATA("Count",Parameters!$A$33,"DW Severity.Severity_Group_1","Injury","DW Party_Type.Party_Type_2","MOTOR VEHICLE DRIVER","DW Sobriety.Sobriety","HBD, NOT UNDER INFLUENCE","Sex","Nonbinary")</f>
        <v>0</v>
      </c>
      <c r="I7" s="20">
        <f>GETPIVOTDATA("Count",Parameters!$A$33,"DW Severity.Severity_Group_1","Injury","DW Party_Type.Party_Type_2","MOTOR VEHICLE DRIVER","DW Sobriety.Sobriety","HBD, NOT UNDER INFLUENCE","Sex","Not Stated")</f>
        <v>19</v>
      </c>
      <c r="J7" s="20">
        <f>GETPIVOTDATA("Count",Parameters!$A$33,"DW Severity.Severity_Group_1","Fatal","DW Party_Type.Party_Type_2","PEDESTRIAN AND BICYCLIST","DW Sobriety.Sobriety","HBD, NOT UNDER INFLUENCE","Sex","Male")</f>
        <v>15</v>
      </c>
      <c r="K7" s="20">
        <f>GETPIVOTDATA("Count",Parameters!$A$33,"DW Severity.Severity_Group_1","Fatal","DW Party_Type.Party_Type_2","PEDESTRIAN AND BICYCLIST","DW Sobriety.Sobriety","HBD, NOT UNDER INFLUENCE","Sex","Female")</f>
        <v>2</v>
      </c>
      <c r="L7" s="20">
        <v>0</v>
      </c>
      <c r="M7" s="20">
        <f>GETPIVOTDATA("Count",Parameters!$A$33,"DW Severity.Severity_Group_1","Fatal","DW Party_Type.Party_Type_2","PEDESTRIAN AND BICYCLIST","DW Sobriety.Sobriety","HBD, NOT UNDER INFLUENCE","Sex","Not Stated")</f>
        <v>0</v>
      </c>
      <c r="N7" s="20">
        <f>GETPIVOTDATA("Count",Parameters!$A$33,"DW Severity.Severity_Group_1","Injury","DW Party_Type.Party_Type_2","PEDESTRIAN AND BICYCLIST","DW Sobriety.Sobriety","HBD, NOT UNDER INFLUENCE","Sex","Male")</f>
        <v>213</v>
      </c>
      <c r="O7" s="20">
        <f>GETPIVOTDATA("Count",Parameters!$A$33,"DW Severity.Severity_Group_1","Injury","DW Party_Type.Party_Type_2","PEDESTRIAN AND BICYCLIST","DW Sobriety.Sobriety","HBD, NOT UNDER INFLUENCE","Sex","Female")</f>
        <v>71</v>
      </c>
      <c r="P7" s="20">
        <v>0</v>
      </c>
      <c r="Q7" s="20">
        <f>GETPIVOTDATA("Count",Parameters!$A$33,"DW Severity.Severity_Group_1","Injury","DW Party_Type.Party_Type_2","PEDESTRIAN AND BICYCLIST","DW Sobriety.Sobriety","HBD, NOT UNDER INFLUENCE","Sex","Not Stated")</f>
        <v>5</v>
      </c>
      <c r="R7" s="21">
        <f t="shared" ref="R7:R10" si="0">SUM(B7:Q7)</f>
        <v>3416</v>
      </c>
    </row>
    <row r="8" spans="1:19" ht="15.5" x14ac:dyDescent="0.35">
      <c r="A8" s="19" t="s">
        <v>123</v>
      </c>
      <c r="B8" s="20">
        <f>GETPIVOTDATA("Count",Parameters!$A$33,"DW Severity.Severity_Group_1","Fatal","DW Party_Type.Party_Type_2","MOTOR VEHICLE DRIVER","DW Sobriety.Sobriety","HBD, IMPAIRMENT UNKNOWN","Sex","Male")</f>
        <v>102</v>
      </c>
      <c r="C8" s="20">
        <f>GETPIVOTDATA("Count",Parameters!$A$33,"DW Severity.Severity_Group_1","Fatal","DW Party_Type.Party_Type_2","MOTOR VEHICLE DRIVER","DW Sobriety.Sobriety","HBD, IMPAIRMENT UNKNOWN","Sex","Female")</f>
        <v>27</v>
      </c>
      <c r="D8" s="20">
        <v>0</v>
      </c>
      <c r="E8" s="20">
        <f>GETPIVOTDATA("Count",Parameters!$A$33,"DW Severity.Severity_Group_1","Fatal","DW Party_Type.Party_Type_2","MOTOR VEHICLE DRIVER","DW Sobriety.Sobriety","HBD, IMPAIRMENT UNKNOWN","Sex","Not Stated")</f>
        <v>7</v>
      </c>
      <c r="F8" s="20">
        <f>GETPIVOTDATA("Count",Parameters!$A$33,"DW Severity.Severity_Group_1","Injury","DW Party_Type.Party_Type_2","MOTOR VEHICLE DRIVER","DW Sobriety.Sobriety","HBD, IMPAIRMENT UNKNOWN","Sex","Male")</f>
        <v>879</v>
      </c>
      <c r="G8" s="20">
        <f>GETPIVOTDATA("Count",Parameters!$A$33,"DW Severity.Severity_Group_1","Injury","DW Party_Type.Party_Type_2","MOTOR VEHICLE DRIVER","DW Sobriety.Sobriety","HBD, IMPAIRMENT UNKNOWN","Sex","Female")</f>
        <v>301</v>
      </c>
      <c r="H8" s="20">
        <f>GETPIVOTDATA("Count",Parameters!$A$33,"DW Severity.Severity_Group_1","Injury","DW Party_Type.Party_Type_2","MOTOR VEHICLE DRIVER","DW Sobriety.Sobriety","HBD, IMPAIRMENT UNKNOWN","Sex","Nonbinary")</f>
        <v>4</v>
      </c>
      <c r="I8" s="20">
        <f>GETPIVOTDATA("Count",Parameters!$A$33,"DW Severity.Severity_Group_1","Injury","DW Party_Type.Party_Type_2","MOTOR VEHICLE DRIVER","DW Sobriety.Sobriety","HBD, IMPAIRMENT UNKNOWN","Sex","Not Stated")</f>
        <v>676</v>
      </c>
      <c r="J8" s="20">
        <f>GETPIVOTDATA("Count",Parameters!$A$33,"DW Severity.Severity_Group_1","Fatal","DW Party_Type.Party_Type_2","PEDESTRIAN AND BICYCLIST","DW Sobriety.Sobriety","HBD, IMPAIRMENT UNKNOWN","Sex","Male")</f>
        <v>41</v>
      </c>
      <c r="K8" s="20">
        <f>GETPIVOTDATA("Count",Parameters!$A$33,"DW Severity.Severity_Group_1","Fatal","DW Party_Type.Party_Type_2","PEDESTRIAN AND BICYCLIST","DW Sobriety.Sobriety","HBD, IMPAIRMENT UNKNOWN","Sex","Female")</f>
        <v>8</v>
      </c>
      <c r="L8" s="20">
        <v>0</v>
      </c>
      <c r="M8" s="20">
        <f>GETPIVOTDATA("Count",Parameters!$A$33,"DW Severity.Severity_Group_1","Fatal","DW Party_Type.Party_Type_2","PEDESTRIAN AND BICYCLIST","DW Sobriety.Sobriety","HBD, IMPAIRMENT UNKNOWN","Sex","Not Stated")</f>
        <v>0</v>
      </c>
      <c r="N8" s="20">
        <f>GETPIVOTDATA("Count",Parameters!$A$33,"DW Severity.Severity_Group_1","Injury","DW Party_Type.Party_Type_2","PEDESTRIAN AND BICYCLIST","DW Sobriety.Sobriety","HBD, IMPAIRMENT UNKNOWN","Sex","Male")</f>
        <v>322</v>
      </c>
      <c r="O8" s="20">
        <f>GETPIVOTDATA("Count",Parameters!$A$33,"DW Severity.Severity_Group_1","Injury","DW Party_Type.Party_Type_2","PEDESTRIAN AND BICYCLIST","DW Sobriety.Sobriety","HBD, IMPAIRMENT UNKNOWN","Sex","Female")</f>
        <v>92</v>
      </c>
      <c r="P8" s="20">
        <v>0</v>
      </c>
      <c r="Q8" s="20">
        <f>GETPIVOTDATA("Count",Parameters!$A$33,"DW Severity.Severity_Group_1","Injury","DW Party_Type.Party_Type_2","PEDESTRIAN AND BICYCLIST","DW Sobriety.Sobriety","HBD, IMPAIRMENT UNKNOWN","Sex","Not Stated")</f>
        <v>8</v>
      </c>
      <c r="R8" s="21">
        <f t="shared" si="0"/>
        <v>2467</v>
      </c>
    </row>
    <row r="9" spans="1:19" ht="15.5" x14ac:dyDescent="0.35">
      <c r="A9" s="22" t="s">
        <v>276</v>
      </c>
      <c r="B9" s="20">
        <f>GETPIVOTDATA("Count",Parameters!$A$33,"DW Severity.Severity_Group_1","Fatal","DW Party_Type.Party_Type_2","MOTOR VEHICLE DRIVER","Sex","Male")</f>
        <v>870</v>
      </c>
      <c r="C9" s="20">
        <f>GETPIVOTDATA("Count",Parameters!$A$33,"DW Severity.Severity_Group_1","Fatal","DW Party_Type.Party_Type_2","MOTOR VEHICLE DRIVER","Sex","Female")</f>
        <v>204</v>
      </c>
      <c r="D9" s="20">
        <v>0</v>
      </c>
      <c r="E9" s="20">
        <f>GETPIVOTDATA("Count",Parameters!$A$33,"DW Severity.Severity_Group_1","Fatal","DW Party_Type.Party_Type_2","MOTOR VEHICLE DRIVER","Sex","Not Stated")</f>
        <v>9</v>
      </c>
      <c r="F9" s="20">
        <f>GETPIVOTDATA("Count",Parameters!$A$33,"DW Severity.Severity_Group_1","Injury","DW Party_Type.Party_Type_2","MOTOR VEHICLE DRIVER","Sex","Male")</f>
        <v>13740</v>
      </c>
      <c r="G9" s="20">
        <f>GETPIVOTDATA("Count",Parameters!$A$33,"DW Severity.Severity_Group_1","Injury","DW Party_Type.Party_Type_2","MOTOR VEHICLE DRIVER","Sex","Female")</f>
        <v>5236</v>
      </c>
      <c r="H9" s="20">
        <f>GETPIVOTDATA("Count",Parameters!$A$33,"DW Severity.Severity_Group_1","Injury","DW Party_Type.Party_Type_2","MOTOR VEHICLE DRIVER","Sex","Nonbinary")</f>
        <v>5</v>
      </c>
      <c r="I9" s="20">
        <f>GETPIVOTDATA("Count",Parameters!$A$33,"DW Severity.Severity_Group_1","Injury","DW Party_Type.Party_Type_2","MOTOR VEHICLE DRIVER","Sex","Not Stated")</f>
        <v>755</v>
      </c>
      <c r="J9" s="20">
        <f>GETPIVOTDATA("Count",Parameters!$A$33,"DW Severity.Severity_Group_1","Fatal","DW Party_Type.Party_Type_2","PEDESTRIAN AND BICYCLIST","Sex","Male")</f>
        <v>175</v>
      </c>
      <c r="K9" s="20">
        <f>GETPIVOTDATA("Count",Parameters!$A$33,"DW Severity.Severity_Group_1","Fatal","DW Party_Type.Party_Type_2","PEDESTRIAN AND BICYCLIST","Sex","Female")</f>
        <v>34</v>
      </c>
      <c r="L9" s="20">
        <v>0</v>
      </c>
      <c r="M9" s="20">
        <f>GETPIVOTDATA("Count",Parameters!$A$33,"DW Severity.Severity_Group_1","Fatal","DW Party_Type.Party_Type_2","PEDESTRIAN AND BICYCLIST","Sex","Not Stated")</f>
        <v>1</v>
      </c>
      <c r="N9" s="20">
        <f>GETPIVOTDATA("Count",Parameters!$A$33,"DW Severity.Severity_Group_1","Injury","DW Party_Type.Party_Type_2","PEDESTRIAN AND BICYCLIST","Sex","Male")</f>
        <v>851</v>
      </c>
      <c r="O9" s="20">
        <f>GETPIVOTDATA("Count",Parameters!$A$33,"DW Severity.Severity_Group_1","Injury","DW Party_Type.Party_Type_2","PEDESTRIAN AND BICYCLIST","Sex","Female")</f>
        <v>246</v>
      </c>
      <c r="P9" s="20">
        <v>0</v>
      </c>
      <c r="Q9" s="20">
        <f>GETPIVOTDATA("Count",Parameters!$A$33,"DW Severity.Severity_Group_1","Injury","DW Party_Type.Party_Type_2","PEDESTRIAN AND BICYCLIST","Sex","Not Stated")</f>
        <v>17</v>
      </c>
      <c r="R9" s="20">
        <f t="shared" si="0"/>
        <v>22143</v>
      </c>
    </row>
    <row r="10" spans="1:19" ht="15.5" x14ac:dyDescent="0.35">
      <c r="A10" s="23" t="s">
        <v>124</v>
      </c>
      <c r="B10" s="20">
        <f>GETPIVOTDATA("Count",Parameters!$A$45,"Party_Type_2","MOTOR VEHICLE DRIVER","Sex","Male","Severity_Group_1","Fatal")</f>
        <v>4602</v>
      </c>
      <c r="C10" s="20">
        <f>GETPIVOTDATA("Count",Parameters!$A$45,"Party_Type_2","MOTOR VEHICLE DRIVER","Sex","Female","Severity_Group_1","Fatal")</f>
        <v>1444</v>
      </c>
      <c r="D10" s="20">
        <f>GETPIVOTDATA("Count",Parameters!$A$45,"Party_Type_2","MOTOR VEHICLE DRIVER","Sex","Nonbinary","Severity_Group_1","Fatal")</f>
        <v>3</v>
      </c>
      <c r="E10" s="20">
        <f>GETPIVOTDATA("Count",Parameters!$A$45,"Party_Type_2","MOTOR VEHICLE DRIVER","Sex","Not Stated","Severity_Group_1","Fatal")</f>
        <v>318</v>
      </c>
      <c r="F10" s="20">
        <f>GETPIVOTDATA("Count",Parameters!$A$45,"Party_Type_2","MOTOR VEHICLE DRIVER","Sex","Male","Severity_Group_1","Injury")</f>
        <v>169558</v>
      </c>
      <c r="G10" s="20">
        <f>GETPIVOTDATA("Count",Parameters!$A$45,"Party_Type_2","MOTOR VEHICLE DRIVER","Sex","Female","Severity_Group_1","Injury")</f>
        <v>105409</v>
      </c>
      <c r="H10" s="20">
        <f>GETPIVOTDATA("Count",Parameters!$A$45,"Party_Type_2","MOTOR VEHICLE DRIVER","Sex","Nonbinary","Severity_Group_1","Injury")</f>
        <v>159</v>
      </c>
      <c r="I10" s="20">
        <f>GETPIVOTDATA("Count",Parameters!$A$45,"Party_Type_2","MOTOR VEHICLE DRIVER","Sex","Not Stated","Severity_Group_1","Injury")</f>
        <v>13892</v>
      </c>
      <c r="J10" s="20">
        <f>GETPIVOTDATA("Count",Parameters!$A$45,"Party_Type_2","PEDESTRIAN AND BICYCLIST","Sex","Male","Severity_Group_1","Fatal")</f>
        <v>1016</v>
      </c>
      <c r="K10" s="20">
        <f>GETPIVOTDATA("Count",Parameters!$A$45,"Party_Type_2","PEDESTRIAN AND BICYCLIST","Sex","Female","Severity_Group_1","Fatal")</f>
        <v>364</v>
      </c>
      <c r="L10" s="20">
        <v>0</v>
      </c>
      <c r="M10" s="20">
        <f>GETPIVOTDATA("Count",Parameters!$A$45,"Party_Type_2","PEDESTRIAN AND BICYCLIST","Sex","Not Stated","Severity_Group_1","Fatal")</f>
        <v>5</v>
      </c>
      <c r="N10" s="20">
        <f>GETPIVOTDATA("Count",Parameters!$A$45,"Party_Type_2","PEDESTRIAN AND BICYCLIST","Sex","Male","Severity_Group_1","Injury")</f>
        <v>12463</v>
      </c>
      <c r="O10" s="20">
        <f>GETPIVOTDATA("Count",Parameters!$A$45,"Party_Type_2","PEDESTRIAN AND BICYCLIST","Sex","Female","Severity_Group_1","Injury")</f>
        <v>5369</v>
      </c>
      <c r="P10" s="20">
        <f>GETPIVOTDATA("Count",Parameters!$A$45,"Party_Type_2","PEDESTRIAN AND BICYCLIST","Sex","Nonbinary","Severity_Group_1","Injury")</f>
        <v>3</v>
      </c>
      <c r="Q10" s="20">
        <f>GETPIVOTDATA("Count",Parameters!$A$45,"Party_Type_2","PEDESTRIAN AND BICYCLIST","Sex","Not Stated","Severity_Group_1","Injury")</f>
        <v>295</v>
      </c>
      <c r="R10" s="20">
        <f t="shared" si="0"/>
        <v>314900</v>
      </c>
      <c r="S10" s="82"/>
    </row>
    <row r="11" spans="1:19" ht="15.5" x14ac:dyDescent="0.35">
      <c r="A11" s="23" t="s">
        <v>125</v>
      </c>
      <c r="B11" s="40">
        <f>B9/B10*100</f>
        <v>18.904823989569753</v>
      </c>
      <c r="C11" s="40">
        <f t="shared" ref="C11:K11" si="1">C9/C10*100</f>
        <v>14.127423822714682</v>
      </c>
      <c r="D11" s="40">
        <f t="shared" si="1"/>
        <v>0</v>
      </c>
      <c r="E11" s="40">
        <f t="shared" si="1"/>
        <v>2.8301886792452833</v>
      </c>
      <c r="F11" s="40">
        <f t="shared" si="1"/>
        <v>8.1034218379551533</v>
      </c>
      <c r="G11" s="40">
        <f t="shared" si="1"/>
        <v>4.9673177812141276</v>
      </c>
      <c r="H11" s="40">
        <f t="shared" si="1"/>
        <v>3.1446540880503147</v>
      </c>
      <c r="I11" s="40">
        <f t="shared" si="1"/>
        <v>5.4347826086956523</v>
      </c>
      <c r="J11" s="40">
        <f t="shared" si="1"/>
        <v>17.224409448818896</v>
      </c>
      <c r="K11" s="40">
        <f t="shared" si="1"/>
        <v>9.3406593406593412</v>
      </c>
      <c r="L11" s="40">
        <v>0</v>
      </c>
      <c r="M11" s="40">
        <f t="shared" ref="M11:R11" si="2">M9/M10*100</f>
        <v>20</v>
      </c>
      <c r="N11" s="40">
        <f t="shared" si="2"/>
        <v>6.8282115060579311</v>
      </c>
      <c r="O11" s="40">
        <f t="shared" si="2"/>
        <v>4.5818588191469551</v>
      </c>
      <c r="P11" s="40">
        <f t="shared" si="2"/>
        <v>0</v>
      </c>
      <c r="Q11" s="40">
        <f t="shared" si="2"/>
        <v>5.7627118644067794</v>
      </c>
      <c r="R11" s="40">
        <f t="shared" si="2"/>
        <v>7.0317561130517623</v>
      </c>
    </row>
    <row r="12" spans="1:19" ht="5.5" customHeight="1" x14ac:dyDescent="0.35"/>
    <row r="13" spans="1:19" s="77" customFormat="1" ht="20.149999999999999" customHeight="1" x14ac:dyDescent="0.25">
      <c r="A13" s="95" t="s">
        <v>290</v>
      </c>
    </row>
    <row r="17" spans="2:2" x14ac:dyDescent="0.35">
      <c r="B17" s="6"/>
    </row>
  </sheetData>
  <pageMargins left="0.55000000000000004" right="0.55000000000000004" top="0.55000000000000004" bottom="0.55000000000000004" header="0.3" footer="0.3"/>
  <pageSetup scale="3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B999D-A0AD-466F-96AE-1EF0645A0678}">
  <sheetPr>
    <pageSetUpPr fitToPage="1"/>
  </sheetPr>
  <dimension ref="A1:O19"/>
  <sheetViews>
    <sheetView workbookViewId="0">
      <selection activeCell="A2" sqref="A2"/>
    </sheetView>
  </sheetViews>
  <sheetFormatPr defaultRowHeight="14.5" x14ac:dyDescent="0.35"/>
  <cols>
    <col min="1" max="1" width="36.81640625" customWidth="1"/>
    <col min="4" max="10" width="9" bestFit="1" customWidth="1"/>
    <col min="12" max="12" width="8.26953125" bestFit="1" customWidth="1"/>
    <col min="13" max="13" width="8.453125" bestFit="1" customWidth="1"/>
    <col min="14" max="14" width="9.26953125" customWidth="1"/>
  </cols>
  <sheetData>
    <row r="1" spans="1:15" ht="17.5" x14ac:dyDescent="0.35">
      <c r="A1" s="2" t="str">
        <f>Parameters!$A$52</f>
        <v>TABLE 5H MOTOR VEHICLE DRIVERS IN FATAL CRASHES BY AGE BY DEGREE OF ALCOHOL IMPAIRMENT - 2021</v>
      </c>
    </row>
    <row r="3" spans="1:15" ht="15.5" x14ac:dyDescent="0.35">
      <c r="A3" s="31" t="s">
        <v>16</v>
      </c>
      <c r="B3" s="32" t="s">
        <v>16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30.5" x14ac:dyDescent="0.35">
      <c r="A4" s="33" t="s">
        <v>281</v>
      </c>
      <c r="B4" s="34" t="s">
        <v>131</v>
      </c>
      <c r="C4" s="34" t="s">
        <v>234</v>
      </c>
      <c r="D4" s="34" t="s">
        <v>235</v>
      </c>
      <c r="E4" s="34" t="s">
        <v>236</v>
      </c>
      <c r="F4" s="34" t="s">
        <v>237</v>
      </c>
      <c r="G4" s="34" t="s">
        <v>238</v>
      </c>
      <c r="H4" s="34" t="s">
        <v>239</v>
      </c>
      <c r="I4" s="34" t="s">
        <v>240</v>
      </c>
      <c r="J4" s="34" t="s">
        <v>241</v>
      </c>
      <c r="K4" s="34" t="s">
        <v>242</v>
      </c>
      <c r="L4" s="34" t="s">
        <v>177</v>
      </c>
      <c r="M4" s="34" t="s">
        <v>243</v>
      </c>
      <c r="N4" s="34" t="s">
        <v>113</v>
      </c>
      <c r="O4" s="34" t="s">
        <v>276</v>
      </c>
    </row>
    <row r="5" spans="1:15" ht="15.5" x14ac:dyDescent="0.35">
      <c r="A5" s="19" t="s">
        <v>289</v>
      </c>
      <c r="B5" s="36">
        <f>GETPIVOTDATA("Count",Parameters!$A$57,"Sobriety.1","HAD BEEN DRINKING","Age_Group_9","0-14")</f>
        <v>1</v>
      </c>
      <c r="C5" s="36">
        <f>GETPIVOTDATA("Count",Parameters!$A$57,"Sobriety.1","HAD BEEN DRINKING","Age_Group_9","15-20")</f>
        <v>62</v>
      </c>
      <c r="D5" s="36">
        <f>GETPIVOTDATA("Count",Parameters!$A$57,"Sobriety.1","HAD BEEN DRINKING","Age_Group_9","21-24")</f>
        <v>145</v>
      </c>
      <c r="E5" s="36">
        <f>GETPIVOTDATA("Count",Parameters!$A$57,"Sobriety.1","HAD BEEN DRINKING","Age_Group_9","25-29")</f>
        <v>170</v>
      </c>
      <c r="F5" s="36">
        <f>GETPIVOTDATA("Count",Parameters!$A$57,"Sobriety.1","HAD BEEN DRINKING","Age_Group_9","30-34")</f>
        <v>137</v>
      </c>
      <c r="G5" s="36">
        <f>GETPIVOTDATA("Count",Parameters!$A$57,"Sobriety.1","HAD BEEN DRINKING","Age_Group_9","35-39")</f>
        <v>97</v>
      </c>
      <c r="H5" s="36">
        <f>GETPIVOTDATA("Count",Parameters!$A$57,"Sobriety.1","HAD BEEN DRINKING","Age_Group_9","40-44")</f>
        <v>67</v>
      </c>
      <c r="I5" s="36">
        <f>GETPIVOTDATA("Count",Parameters!$A$57,"Sobriety.1","HAD BEEN DRINKING","Age_Group_9","45-49")</f>
        <v>43</v>
      </c>
      <c r="J5" s="36">
        <f>GETPIVOTDATA("Count",Parameters!$A$57,"Sobriety.1","HAD BEEN DRINKING","Age_Group_9","50-54")</f>
        <v>44</v>
      </c>
      <c r="K5" s="36">
        <f>GETPIVOTDATA("Count",Parameters!$A$57,"Sobriety.1","HAD BEEN DRINKING","Age_Group_9","55-59")</f>
        <v>40</v>
      </c>
      <c r="L5" s="36">
        <f>GETPIVOTDATA("Count",Parameters!$A$57,"Sobriety.1","HAD BEEN DRINKING","Age_Group_9","60-64")</f>
        <v>15</v>
      </c>
      <c r="M5" s="36">
        <f>GETPIVOTDATA("Count",Parameters!$A$57,"Sobriety.1","HAD BEEN DRINKING","Age_Group_9","65 and over")</f>
        <v>28</v>
      </c>
      <c r="N5" s="36">
        <f>GETPIVOTDATA("Count",Parameters!$A$57,"Sobriety.1","HAD BEEN DRINKING","Age_Group_9","Not Stated")</f>
        <v>1</v>
      </c>
      <c r="O5" s="36">
        <f>GETPIVOTDATA("Count",Parameters!$A$57,"Sobriety.1","HAD BEEN DRINKING")</f>
        <v>850</v>
      </c>
    </row>
    <row r="6" spans="1:15" ht="15.5" x14ac:dyDescent="0.35">
      <c r="A6" s="35" t="s">
        <v>122</v>
      </c>
      <c r="B6" s="36">
        <f>GETPIVOTDATA("Count",Parameters!$A$57,"Sobriety.1","HBD, NOT UNDER INFLUENCE","Age_Group_9","0-14")</f>
        <v>0</v>
      </c>
      <c r="C6" s="36">
        <f>GETPIVOTDATA("Count",Parameters!$A$57,"Sobriety.1","HBD, NOT UNDER INFLUENCE","Age_Group_9","15-20")</f>
        <v>6</v>
      </c>
      <c r="D6" s="36">
        <f>GETPIVOTDATA("Count",Parameters!$A$57,"Sobriety.1","HBD, NOT UNDER INFLUENCE","Age_Group_9","21-24")</f>
        <v>11</v>
      </c>
      <c r="E6" s="36">
        <f>GETPIVOTDATA("Count",Parameters!$A$57,"Sobriety.1","HBD, NOT UNDER INFLUENCE","Age_Group_9","25-29")</f>
        <v>17</v>
      </c>
      <c r="F6" s="36">
        <f>GETPIVOTDATA("Count",Parameters!$A$57,"Sobriety.1","HBD, NOT UNDER INFLUENCE","Age_Group_9","30-34")</f>
        <v>12</v>
      </c>
      <c r="G6" s="36">
        <f>GETPIVOTDATA("Count",Parameters!$A$57,"Sobriety.1","HBD, NOT UNDER INFLUENCE","Age_Group_9","35-39")</f>
        <v>9</v>
      </c>
      <c r="H6" s="36">
        <f>GETPIVOTDATA("Count",Parameters!$A$57,"Sobriety.1","HBD, NOT UNDER INFLUENCE","Age_Group_9","40-44")</f>
        <v>13</v>
      </c>
      <c r="I6" s="36">
        <f>GETPIVOTDATA("Count",Parameters!$A$57,"Sobriety.1","HBD, NOT UNDER INFLUENCE","Age_Group_9","45-49")</f>
        <v>3</v>
      </c>
      <c r="J6" s="36">
        <f>GETPIVOTDATA("Count",Parameters!$A$57,"Sobriety.1","HBD, NOT UNDER INFLUENCE","Age_Group_9","50-54")</f>
        <v>6</v>
      </c>
      <c r="K6" s="36">
        <f>GETPIVOTDATA("Count",Parameters!$A$57,"Sobriety.1","HBD, NOT UNDER INFLUENCE","Age_Group_9","55-59")</f>
        <v>5</v>
      </c>
      <c r="L6" s="36">
        <f>GETPIVOTDATA("Count",Parameters!$A$57,"Sobriety.1","HBD, NOT UNDER INFLUENCE","Age_Group_9","60-64")</f>
        <v>8</v>
      </c>
      <c r="M6" s="36">
        <f>GETPIVOTDATA("Count",Parameters!$A$57,"Sobriety.1","HBD, NOT UNDER INFLUENCE","Age_Group_9","65 and over")</f>
        <v>7</v>
      </c>
      <c r="N6" s="36">
        <f>GETPIVOTDATA("Count",Parameters!$A$57,"Sobriety.1","HBD, NOT UNDER INFLUENCE","Age_Group_9","Not Stated")</f>
        <v>0</v>
      </c>
      <c r="O6" s="36">
        <f>GETPIVOTDATA("Count",Parameters!$A$57,"Sobriety.1","HBD, NOT UNDER INFLUENCE")</f>
        <v>97</v>
      </c>
    </row>
    <row r="7" spans="1:15" ht="15.5" x14ac:dyDescent="0.35">
      <c r="A7" s="35" t="s">
        <v>123</v>
      </c>
      <c r="B7" s="36">
        <f>GETPIVOTDATA("Count",Parameters!$A$57,"Sobriety.1","HBD, IMPAIRMENT UNKNOWN","Age_Group_9","0-14")</f>
        <v>0</v>
      </c>
      <c r="C7" s="36">
        <f>GETPIVOTDATA("Count",Parameters!$A$57,"Sobriety.1","HBD, IMPAIRMENT UNKNOWN","Age_Group_9","15-20")</f>
        <v>11</v>
      </c>
      <c r="D7" s="36">
        <f>GETPIVOTDATA("Count",Parameters!$A$57,"Sobriety.1","HBD, IMPAIRMENT UNKNOWN","Age_Group_9","21-24")</f>
        <v>12</v>
      </c>
      <c r="E7" s="36">
        <f>GETPIVOTDATA("Count",Parameters!$A$57,"Sobriety.1","HBD, IMPAIRMENT UNKNOWN","Age_Group_9","25-29")</f>
        <v>26</v>
      </c>
      <c r="F7" s="36">
        <f>GETPIVOTDATA("Count",Parameters!$A$57,"Sobriety.1","HBD, IMPAIRMENT UNKNOWN","Age_Group_9","30-34")</f>
        <v>9</v>
      </c>
      <c r="G7" s="36">
        <f>GETPIVOTDATA("Count",Parameters!$A$57,"Sobriety.1","HBD, IMPAIRMENT UNKNOWN","Age_Group_9","35-39")</f>
        <v>13</v>
      </c>
      <c r="H7" s="36">
        <f>GETPIVOTDATA("Count",Parameters!$A$57,"Sobriety.1","HBD, IMPAIRMENT UNKNOWN","Age_Group_9","40-44")</f>
        <v>7</v>
      </c>
      <c r="I7" s="36">
        <f>GETPIVOTDATA("Count",Parameters!$A$57,"Sobriety.1","HBD, IMPAIRMENT UNKNOWN","Age_Group_9","45-49")</f>
        <v>8</v>
      </c>
      <c r="J7" s="36">
        <f>GETPIVOTDATA("Count",Parameters!$A$57,"Sobriety.1","HBD, IMPAIRMENT UNKNOWN","Age_Group_9","50-54")</f>
        <v>14</v>
      </c>
      <c r="K7" s="36">
        <f>GETPIVOTDATA("Count",Parameters!$A$57,"Sobriety.1","HBD, IMPAIRMENT UNKNOWN","Age_Group_9","55-59")</f>
        <v>10</v>
      </c>
      <c r="L7" s="36">
        <f>GETPIVOTDATA("Count",Parameters!$A$57,"Sobriety.1","HBD, IMPAIRMENT UNKNOWN","Age_Group_9","60-64")</f>
        <v>10</v>
      </c>
      <c r="M7" s="36">
        <f>GETPIVOTDATA("Count",Parameters!$A$57,"Sobriety.1","HBD, IMPAIRMENT UNKNOWN","Age_Group_9","65 and over")</f>
        <v>8</v>
      </c>
      <c r="N7" s="36">
        <f>GETPIVOTDATA("Count",Parameters!$A$57,"Sobriety.1","HBD, IMPAIRMENT UNKNOWN","Age_Group_9","Not Stated")</f>
        <v>8</v>
      </c>
      <c r="O7" s="36">
        <f>GETPIVOTDATA("Count",Parameters!$A$57,"Sobriety.1","HBD, IMPAIRMENT UNKNOWN")</f>
        <v>136</v>
      </c>
    </row>
    <row r="8" spans="1:15" ht="15.5" x14ac:dyDescent="0.35">
      <c r="A8" s="22" t="s">
        <v>276</v>
      </c>
      <c r="B8" s="41">
        <f>GETPIVOTDATA("Count",Parameters!$A$57,"Age_Group_9","0-14")</f>
        <v>1</v>
      </c>
      <c r="C8" s="41">
        <f>GETPIVOTDATA("Count",Parameters!$A$57,"Age_Group_9","15-20")</f>
        <v>79</v>
      </c>
      <c r="D8" s="41">
        <f>GETPIVOTDATA("Count",Parameters!$A$57,"Age_Group_9","21-24")</f>
        <v>168</v>
      </c>
      <c r="E8" s="41">
        <f>GETPIVOTDATA("Count",Parameters!$A$57,"Age_Group_9","25-29")</f>
        <v>213</v>
      </c>
      <c r="F8" s="41">
        <f>GETPIVOTDATA("Count",Parameters!$A$57,"Age_Group_9","30-34")</f>
        <v>158</v>
      </c>
      <c r="G8" s="41">
        <f>GETPIVOTDATA("Count",Parameters!$A$57,"Age_Group_9","35-39")</f>
        <v>119</v>
      </c>
      <c r="H8" s="41">
        <f>GETPIVOTDATA("Count",Parameters!$A$57,"Age_Group_9","40-44")</f>
        <v>87</v>
      </c>
      <c r="I8" s="41">
        <f>GETPIVOTDATA("Count",Parameters!$A$57,"Age_Group_9","45-49")</f>
        <v>54</v>
      </c>
      <c r="J8" s="41">
        <f>GETPIVOTDATA("Count",Parameters!$A$57,"Age_Group_9","50-54")</f>
        <v>64</v>
      </c>
      <c r="K8" s="41">
        <f>GETPIVOTDATA("Count",Parameters!$A$57,"Age_Group_9","55-59")</f>
        <v>55</v>
      </c>
      <c r="L8" s="41">
        <f>GETPIVOTDATA("Count",Parameters!$A$57,"Age_Group_9","60-64")</f>
        <v>33</v>
      </c>
      <c r="M8" s="41">
        <f>GETPIVOTDATA("Count",Parameters!$A$57,"Age_Group_9","65 and over")</f>
        <v>43</v>
      </c>
      <c r="N8" s="41">
        <f>GETPIVOTDATA("Count",Parameters!$A$57,"Age_Group_9","Not Stated")</f>
        <v>9</v>
      </c>
      <c r="O8" s="41">
        <f>GETPIVOTDATA("Count",Parameters!$A$57)</f>
        <v>1083</v>
      </c>
    </row>
    <row r="9" spans="1:15" ht="15.5" x14ac:dyDescent="0.35">
      <c r="A9" s="23" t="s">
        <v>244</v>
      </c>
      <c r="B9" s="20">
        <f>GETPIVOTDATA("Count",Parameters!$A$67,"Age_Group_9","0-14")</f>
        <v>11</v>
      </c>
      <c r="C9" s="20">
        <f>GETPIVOTDATA("Count",Parameters!$A$67,"Age_Group_9","15-20")</f>
        <v>500</v>
      </c>
      <c r="D9" s="20">
        <f>GETPIVOTDATA("Count",Parameters!$A$67,"Age_Group_9","21-24")</f>
        <v>650</v>
      </c>
      <c r="E9" s="20">
        <f>GETPIVOTDATA("Count",Parameters!$A$67,"Age_Group_9","25-29")</f>
        <v>793</v>
      </c>
      <c r="F9" s="20">
        <f>GETPIVOTDATA("Count",Parameters!$A$67,"Age_Group_9","30-34")</f>
        <v>697</v>
      </c>
      <c r="G9" s="20">
        <f>GETPIVOTDATA("Count",Parameters!$A$67,"Age_Group_9","35-39")</f>
        <v>610</v>
      </c>
      <c r="H9" s="20">
        <f>GETPIVOTDATA("Count",Parameters!$A$67,"Age_Group_9","40-44")</f>
        <v>464</v>
      </c>
      <c r="I9" s="20">
        <f>GETPIVOTDATA("Count",Parameters!$A$67,"Age_Group_9","45-49")</f>
        <v>410</v>
      </c>
      <c r="J9" s="20">
        <f>GETPIVOTDATA("Count",Parameters!$A$67,"Age_Group_9","50-54")</f>
        <v>501</v>
      </c>
      <c r="K9" s="20">
        <f>GETPIVOTDATA("Count",Parameters!$A$67,"Age_Group_9","55-59")</f>
        <v>433</v>
      </c>
      <c r="L9" s="20">
        <f>GETPIVOTDATA("Count",Parameters!$A$67,"Age_Group_9","60-64")</f>
        <v>377</v>
      </c>
      <c r="M9" s="20">
        <f>GETPIVOTDATA("Count",Parameters!$A$67,"Age_Group_9","65 and over")</f>
        <v>589</v>
      </c>
      <c r="N9" s="20">
        <f>GETPIVOTDATA("Count",Parameters!$A$67,"Age_Group_9","Not Stated")</f>
        <v>332</v>
      </c>
      <c r="O9" s="20">
        <f>GETPIVOTDATA("Count",Parameters!$A$67)</f>
        <v>6367</v>
      </c>
    </row>
    <row r="10" spans="1:15" ht="15.5" x14ac:dyDescent="0.35">
      <c r="A10" s="23" t="s">
        <v>125</v>
      </c>
      <c r="B10" s="40">
        <f>B8/B9*100</f>
        <v>9.0909090909090917</v>
      </c>
      <c r="C10" s="40">
        <f t="shared" ref="C10:F10" si="0">C8/C9*100</f>
        <v>15.8</v>
      </c>
      <c r="D10" s="40">
        <f t="shared" si="0"/>
        <v>25.846153846153847</v>
      </c>
      <c r="E10" s="40">
        <f t="shared" si="0"/>
        <v>26.86002522068096</v>
      </c>
      <c r="F10" s="40">
        <f t="shared" si="0"/>
        <v>22.66857962697274</v>
      </c>
      <c r="G10" s="40">
        <f>G8/G9*100</f>
        <v>19.508196721311474</v>
      </c>
      <c r="H10" s="40">
        <f t="shared" ref="H10:I10" si="1">H8/H9*100</f>
        <v>18.75</v>
      </c>
      <c r="I10" s="40">
        <f t="shared" si="1"/>
        <v>13.170731707317074</v>
      </c>
      <c r="J10" s="40">
        <f>J8/J9*100</f>
        <v>12.774451097804389</v>
      </c>
      <c r="K10" s="40">
        <f t="shared" ref="K10:L10" si="2">K8/K9*100</f>
        <v>12.702078521939955</v>
      </c>
      <c r="L10" s="40">
        <f t="shared" si="2"/>
        <v>8.7533156498673748</v>
      </c>
      <c r="M10" s="40">
        <f>M8/M9*100</f>
        <v>7.3005093378607802</v>
      </c>
      <c r="N10" s="40">
        <f t="shared" ref="N10" si="3">N8/N9*100</f>
        <v>2.7108433734939759</v>
      </c>
      <c r="O10" s="40">
        <f>O8/O9*100</f>
        <v>17.009580650227736</v>
      </c>
    </row>
    <row r="11" spans="1:15" ht="5.5" customHeight="1" x14ac:dyDescent="0.35"/>
    <row r="12" spans="1:15" ht="20.149999999999999" customHeight="1" x14ac:dyDescent="0.35">
      <c r="A12" s="95" t="s">
        <v>290</v>
      </c>
    </row>
    <row r="17" spans="1:2" x14ac:dyDescent="0.35">
      <c r="A17" s="26"/>
    </row>
    <row r="19" spans="1:2" x14ac:dyDescent="0.35">
      <c r="B19" s="83"/>
    </row>
  </sheetData>
  <pageMargins left="0.55000000000000004" right="0.55000000000000004" top="0.55000000000000004" bottom="0.55000000000000004" header="0.3" footer="0.3"/>
  <pageSetup scale="5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5F01-FEB2-4ABD-9C60-6DB3D62E4743}">
  <sheetPr>
    <pageSetUpPr fitToPage="1"/>
  </sheetPr>
  <dimension ref="A1:O12"/>
  <sheetViews>
    <sheetView workbookViewId="0">
      <selection activeCell="A2" sqref="A2"/>
    </sheetView>
  </sheetViews>
  <sheetFormatPr defaultRowHeight="14.5" x14ac:dyDescent="0.35"/>
  <cols>
    <col min="1" max="1" width="37.26953125" customWidth="1"/>
    <col min="2" max="2" width="9" customWidth="1"/>
    <col min="4" max="10" width="9" bestFit="1" customWidth="1"/>
    <col min="12" max="12" width="9.453125" customWidth="1"/>
    <col min="13" max="13" width="8.453125" bestFit="1" customWidth="1"/>
    <col min="14" max="14" width="8.7265625" customWidth="1"/>
    <col min="15" max="15" width="9.7265625" bestFit="1" customWidth="1"/>
  </cols>
  <sheetData>
    <row r="1" spans="1:15" ht="17.5" x14ac:dyDescent="0.35">
      <c r="A1" s="2" t="str">
        <f>Parameters!$A$72</f>
        <v>TABLE 5I MOTOR VEHICLE DRIVERS IN INJURY CRASHES BY AGE BY DEGREE OF ALCOHOL IMPAIRMENT - 2021</v>
      </c>
    </row>
    <row r="3" spans="1:15" ht="15.5" x14ac:dyDescent="0.35">
      <c r="A3" s="31" t="s">
        <v>16</v>
      </c>
      <c r="B3" s="32" t="s">
        <v>16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30.5" x14ac:dyDescent="0.35">
      <c r="A4" s="33" t="s">
        <v>281</v>
      </c>
      <c r="B4" s="34" t="s">
        <v>131</v>
      </c>
      <c r="C4" s="34" t="s">
        <v>234</v>
      </c>
      <c r="D4" s="34" t="s">
        <v>235</v>
      </c>
      <c r="E4" s="34" t="s">
        <v>236</v>
      </c>
      <c r="F4" s="34" t="s">
        <v>237</v>
      </c>
      <c r="G4" s="34" t="s">
        <v>238</v>
      </c>
      <c r="H4" s="34" t="s">
        <v>239</v>
      </c>
      <c r="I4" s="34" t="s">
        <v>240</v>
      </c>
      <c r="J4" s="34" t="s">
        <v>241</v>
      </c>
      <c r="K4" s="34" t="s">
        <v>242</v>
      </c>
      <c r="L4" s="34" t="s">
        <v>177</v>
      </c>
      <c r="M4" s="34" t="s">
        <v>243</v>
      </c>
      <c r="N4" s="34" t="s">
        <v>113</v>
      </c>
      <c r="O4" s="34" t="s">
        <v>276</v>
      </c>
    </row>
    <row r="5" spans="1:15" ht="15.5" x14ac:dyDescent="0.35">
      <c r="A5" s="19" t="s">
        <v>289</v>
      </c>
      <c r="B5" s="36">
        <f>GETPIVOTDATA("Count",Parameters!$A$77,"Sobriety.1","HAD BEEN DRINKING","Age_Group_9","0-14")</f>
        <v>13</v>
      </c>
      <c r="C5" s="36">
        <f>GETPIVOTDATA("Count",Parameters!$A$77,"Sobriety.1","HAD BEEN DRINKING","Age_Group_9","15-20")</f>
        <v>966</v>
      </c>
      <c r="D5" s="36">
        <f>GETPIVOTDATA("Count",Parameters!$A$77,"Sobriety.1","HAD BEEN DRINKING","Age_Group_9","21-24")</f>
        <v>2588</v>
      </c>
      <c r="E5" s="36">
        <f>GETPIVOTDATA("Count",Parameters!$A$77,"Sobriety.1","HAD BEEN DRINKING","Age_Group_9","25-29")</f>
        <v>3304</v>
      </c>
      <c r="F5" s="36">
        <f>GETPIVOTDATA("Count",Parameters!$A$77,"Sobriety.1","HAD BEEN DRINKING","Age_Group_9","30-34")</f>
        <v>2333</v>
      </c>
      <c r="G5" s="36">
        <f>GETPIVOTDATA("Count",Parameters!$A$77,"Sobriety.1","HAD BEEN DRINKING","Age_Group_9","35-39")</f>
        <v>1567</v>
      </c>
      <c r="H5" s="36">
        <f>GETPIVOTDATA("Count",Parameters!$A$77,"Sobriety.1","HAD BEEN DRINKING","Age_Group_9","40-44")</f>
        <v>1151</v>
      </c>
      <c r="I5" s="36">
        <f>GETPIVOTDATA("Count",Parameters!$A$77,"Sobriety.1","HAD BEEN DRINKING","Age_Group_9","45-49")</f>
        <v>808</v>
      </c>
      <c r="J5" s="36">
        <f>GETPIVOTDATA("Count",Parameters!$A$77,"Sobriety.1","HAD BEEN DRINKING","Age_Group_9","50-54")</f>
        <v>707</v>
      </c>
      <c r="K5" s="36">
        <f>GETPIVOTDATA("Count",Parameters!$A$77,"Sobriety.1","HAD BEEN DRINKING","Age_Group_9","55-59")</f>
        <v>578</v>
      </c>
      <c r="L5" s="36">
        <f>GETPIVOTDATA("Count",Parameters!$A$77,"Sobriety.1","HAD BEEN DRINKING","Age_Group_9","60-64")</f>
        <v>399</v>
      </c>
      <c r="M5" s="36">
        <f>GETPIVOTDATA("Count",Parameters!$A$77,"Sobriety.1","HAD BEEN DRINKING","Age_Group_9","65 and over")</f>
        <v>406</v>
      </c>
      <c r="N5" s="36">
        <f>GETPIVOTDATA("Count",Parameters!$A$77,"Sobriety.1","HAD BEEN DRINKING","Age_Group_9","Not Stated")</f>
        <v>43</v>
      </c>
      <c r="O5" s="36">
        <f>GETPIVOTDATA("Count",Parameters!$A$77,"Sobriety.1","HAD BEEN DRINKING")</f>
        <v>14863</v>
      </c>
    </row>
    <row r="6" spans="1:15" ht="15.5" x14ac:dyDescent="0.35">
      <c r="A6" s="35" t="s">
        <v>122</v>
      </c>
      <c r="B6" s="36">
        <f>GETPIVOTDATA("Count",Parameters!$A$77,"Sobriety.1","HBD, NOT UNDER INFLUENCE","Age_Group_9","0-14")</f>
        <v>7</v>
      </c>
      <c r="C6" s="36">
        <f>GETPIVOTDATA("Count",Parameters!$A$77,"Sobriety.1","HBD, NOT UNDER INFLUENCE","Age_Group_9","15-20")</f>
        <v>264</v>
      </c>
      <c r="D6" s="36">
        <f>GETPIVOTDATA("Count",Parameters!$A$77,"Sobriety.1","HBD, NOT UNDER INFLUENCE","Age_Group_9","21-24")</f>
        <v>388</v>
      </c>
      <c r="E6" s="36">
        <f>GETPIVOTDATA("Count",Parameters!$A$77,"Sobriety.1","HBD, NOT UNDER INFLUENCE","Age_Group_9","25-29")</f>
        <v>506</v>
      </c>
      <c r="F6" s="36">
        <f>GETPIVOTDATA("Count",Parameters!$A$77,"Sobriety.1","HBD, NOT UNDER INFLUENCE","Age_Group_9","30-34")</f>
        <v>359</v>
      </c>
      <c r="G6" s="36">
        <f>GETPIVOTDATA("Count",Parameters!$A$77,"Sobriety.1","HBD, NOT UNDER INFLUENCE","Age_Group_9","35-39")</f>
        <v>294</v>
      </c>
      <c r="H6" s="36">
        <f>GETPIVOTDATA("Count",Parameters!$A$77,"Sobriety.1","HBD, NOT UNDER INFLUENCE","Age_Group_9","40-44")</f>
        <v>254</v>
      </c>
      <c r="I6" s="36">
        <f>GETPIVOTDATA("Count",Parameters!$A$77,"Sobriety.1","HBD, NOT UNDER INFLUENCE","Age_Group_9","45-49")</f>
        <v>184</v>
      </c>
      <c r="J6" s="36">
        <f>GETPIVOTDATA("Count",Parameters!$A$77,"Sobriety.1","HBD, NOT UNDER INFLUENCE","Age_Group_9","50-54")</f>
        <v>181</v>
      </c>
      <c r="K6" s="36">
        <f>GETPIVOTDATA("Count",Parameters!$A$77,"Sobriety.1","HBD, NOT UNDER INFLUENCE","Age_Group_9","55-59")</f>
        <v>181</v>
      </c>
      <c r="L6" s="36">
        <f>GETPIVOTDATA("Count",Parameters!$A$77,"Sobriety.1","HBD, NOT UNDER INFLUENCE","Age_Group_9","60-64")</f>
        <v>146</v>
      </c>
      <c r="M6" s="36">
        <f>GETPIVOTDATA("Count",Parameters!$A$77,"Sobriety.1","HBD, NOT UNDER INFLUENCE","Age_Group_9","65 and over")</f>
        <v>224</v>
      </c>
      <c r="N6" s="36">
        <f>GETPIVOTDATA("Count",Parameters!$A$77,"Sobriety.1","HBD, NOT UNDER INFLUENCE","Age_Group_9","Not Stated")</f>
        <v>25</v>
      </c>
      <c r="O6" s="36">
        <f>GETPIVOTDATA("Count",Parameters!$A$77,"Sobriety.1","HBD, NOT UNDER INFLUENCE")</f>
        <v>3013</v>
      </c>
    </row>
    <row r="7" spans="1:15" ht="15.5" x14ac:dyDescent="0.35">
      <c r="A7" s="35" t="s">
        <v>123</v>
      </c>
      <c r="B7" s="36">
        <f>GETPIVOTDATA("Count",Parameters!$A$77,"Sobriety.1","HBD, IMPAIRMENT UNKNOWN","Age_Group_9","0-14")</f>
        <v>4</v>
      </c>
      <c r="C7" s="36">
        <f>GETPIVOTDATA("Count",Parameters!$A$77,"Sobriety.1","HBD, IMPAIRMENT UNKNOWN","Age_Group_9","15-20")</f>
        <v>78</v>
      </c>
      <c r="D7" s="36">
        <f>GETPIVOTDATA("Count",Parameters!$A$77,"Sobriety.1","HBD, IMPAIRMENT UNKNOWN","Age_Group_9","21-24")</f>
        <v>132</v>
      </c>
      <c r="E7" s="36">
        <f>GETPIVOTDATA("Count",Parameters!$A$77,"Sobriety.1","HBD, IMPAIRMENT UNKNOWN","Age_Group_9","25-29")</f>
        <v>211</v>
      </c>
      <c r="F7" s="36">
        <f>GETPIVOTDATA("Count",Parameters!$A$77,"Sobriety.1","HBD, IMPAIRMENT UNKNOWN","Age_Group_9","30-34")</f>
        <v>141</v>
      </c>
      <c r="G7" s="36">
        <f>GETPIVOTDATA("Count",Parameters!$A$77,"Sobriety.1","HBD, IMPAIRMENT UNKNOWN","Age_Group_9","35-39")</f>
        <v>103</v>
      </c>
      <c r="H7" s="36">
        <f>GETPIVOTDATA("Count",Parameters!$A$77,"Sobriety.1","HBD, IMPAIRMENT UNKNOWN","Age_Group_9","40-44")</f>
        <v>93</v>
      </c>
      <c r="I7" s="36">
        <f>GETPIVOTDATA("Count",Parameters!$A$77,"Sobriety.1","HBD, IMPAIRMENT UNKNOWN","Age_Group_9","45-49")</f>
        <v>49</v>
      </c>
      <c r="J7" s="36">
        <f>GETPIVOTDATA("Count",Parameters!$A$77,"Sobriety.1","HBD, IMPAIRMENT UNKNOWN","Age_Group_9","50-54")</f>
        <v>49</v>
      </c>
      <c r="K7" s="36">
        <f>GETPIVOTDATA("Count",Parameters!$A$77,"Sobriety.1","HBD, IMPAIRMENT UNKNOWN","Age_Group_9","55-59")</f>
        <v>41</v>
      </c>
      <c r="L7" s="36">
        <f>GETPIVOTDATA("Count",Parameters!$A$77,"Sobriety.1","HBD, IMPAIRMENT UNKNOWN","Age_Group_9","60-64")</f>
        <v>29</v>
      </c>
      <c r="M7" s="36">
        <f>GETPIVOTDATA("Count",Parameters!$A$77,"Sobriety.1","HBD, IMPAIRMENT UNKNOWN","Age_Group_9","65 and over")</f>
        <v>50</v>
      </c>
      <c r="N7" s="36">
        <f>GETPIVOTDATA("Count",Parameters!$A$77,"Sobriety.1","HBD, IMPAIRMENT UNKNOWN","Age_Group_9","Not Stated")</f>
        <v>880</v>
      </c>
      <c r="O7" s="36">
        <f>GETPIVOTDATA("Count",Parameters!$A$77,"Sobriety.1","HBD, IMPAIRMENT UNKNOWN")</f>
        <v>1860</v>
      </c>
    </row>
    <row r="8" spans="1:15" ht="15.5" x14ac:dyDescent="0.35">
      <c r="A8" s="22" t="s">
        <v>276</v>
      </c>
      <c r="B8" s="41">
        <f>GETPIVOTDATA("Count",Parameters!$A$77,"Age_Group_9","0-14")</f>
        <v>24</v>
      </c>
      <c r="C8" s="41">
        <f>GETPIVOTDATA("Count",Parameters!$A$77,"Age_Group_9","15-20")</f>
        <v>1308</v>
      </c>
      <c r="D8" s="41">
        <f>GETPIVOTDATA("Count",Parameters!$A$77,"Age_Group_9","21-24")</f>
        <v>3108</v>
      </c>
      <c r="E8" s="41">
        <f>GETPIVOTDATA("Count",Parameters!$A$77,"Age_Group_9","25-29")</f>
        <v>4021</v>
      </c>
      <c r="F8" s="41">
        <f>GETPIVOTDATA("Count",Parameters!$A$77,"Age_Group_9","30-34")</f>
        <v>2833</v>
      </c>
      <c r="G8" s="41">
        <f>GETPIVOTDATA("Count",Parameters!$A$77,"Age_Group_9","35-39")</f>
        <v>1964</v>
      </c>
      <c r="H8" s="41">
        <f>GETPIVOTDATA("Count",Parameters!$A$77,"Age_Group_9","40-44")</f>
        <v>1498</v>
      </c>
      <c r="I8" s="41">
        <f>GETPIVOTDATA("Count",Parameters!$A$77,"Age_Group_9","45-49")</f>
        <v>1041</v>
      </c>
      <c r="J8" s="41">
        <f>GETPIVOTDATA("Count",Parameters!$A$77,"Age_Group_9","50-54")</f>
        <v>937</v>
      </c>
      <c r="K8" s="41">
        <f>GETPIVOTDATA("Count",Parameters!$A$77,"Age_Group_9","55-59")</f>
        <v>800</v>
      </c>
      <c r="L8" s="41">
        <f>GETPIVOTDATA("Count",Parameters!$A$77,"Age_Group_9","60-64")</f>
        <v>574</v>
      </c>
      <c r="M8" s="41">
        <f>GETPIVOTDATA("Count",Parameters!$A$77,"Age_Group_9","65 and over")</f>
        <v>680</v>
      </c>
      <c r="N8" s="41">
        <f>GETPIVOTDATA("Count",Parameters!$A$77,"Age_Group_9","Not Stated")</f>
        <v>948</v>
      </c>
      <c r="O8" s="41">
        <f>GETPIVOTDATA("Count",Parameters!$A$77)</f>
        <v>19736</v>
      </c>
    </row>
    <row r="9" spans="1:15" ht="15.5" x14ac:dyDescent="0.35">
      <c r="A9" s="23" t="s">
        <v>246</v>
      </c>
      <c r="B9" s="20">
        <f>GETPIVOTDATA("Count",Parameters!$A$87,"Age_Group_9","0-14")</f>
        <v>365</v>
      </c>
      <c r="C9" s="20">
        <f>GETPIVOTDATA("Count",Parameters!$A$87,"Age_Group_9","15-20")</f>
        <v>25228</v>
      </c>
      <c r="D9" s="20">
        <f>GETPIVOTDATA("Count",Parameters!$A$87,"Age_Group_9","21-24")</f>
        <v>30341</v>
      </c>
      <c r="E9" s="20">
        <f>GETPIVOTDATA("Count",Parameters!$A$87,"Age_Group_9","25-29")</f>
        <v>36891</v>
      </c>
      <c r="F9" s="20">
        <f>GETPIVOTDATA("Count",Parameters!$A$87,"Age_Group_9","30-34")</f>
        <v>32446</v>
      </c>
      <c r="G9" s="20">
        <f>GETPIVOTDATA("Count",Parameters!$A$87,"Age_Group_9","35-39")</f>
        <v>26856</v>
      </c>
      <c r="H9" s="20">
        <f>GETPIVOTDATA("Count",Parameters!$A$87,"Age_Group_9","40-44")</f>
        <v>23226</v>
      </c>
      <c r="I9" s="20">
        <f>GETPIVOTDATA("Count",Parameters!$A$87,"Age_Group_9","45-49")</f>
        <v>20075</v>
      </c>
      <c r="J9" s="20">
        <f>GETPIVOTDATA("Count",Parameters!$A$87,"Age_Group_9","50-54")</f>
        <v>19590</v>
      </c>
      <c r="K9" s="20">
        <f>GETPIVOTDATA("Count",Parameters!$A$87,"Age_Group_9","55-59")</f>
        <v>17788</v>
      </c>
      <c r="L9" s="20">
        <f>GETPIVOTDATA("Count",Parameters!$A$87,"Age_Group_9","60-64")</f>
        <v>14421</v>
      </c>
      <c r="M9" s="20">
        <f>GETPIVOTDATA("Count",Parameters!$A$87,"Age_Group_9","65 and over")</f>
        <v>24719</v>
      </c>
      <c r="N9" s="20">
        <f>GETPIVOTDATA("Count",Parameters!$A$87,"Age_Group_9","Not Stated")</f>
        <v>17072</v>
      </c>
      <c r="O9" s="20">
        <f>GETPIVOTDATA("Count",Parameters!$A$87)</f>
        <v>289018</v>
      </c>
    </row>
    <row r="10" spans="1:15" ht="15.5" x14ac:dyDescent="0.35">
      <c r="A10" s="23" t="s">
        <v>125</v>
      </c>
      <c r="B10" s="40">
        <f>B8/B9*100</f>
        <v>6.5753424657534243</v>
      </c>
      <c r="C10" s="40">
        <f t="shared" ref="C10:O10" si="0">C8/C9*100</f>
        <v>5.1847153955921996</v>
      </c>
      <c r="D10" s="40">
        <f t="shared" si="0"/>
        <v>10.24356481328895</v>
      </c>
      <c r="E10" s="40">
        <f t="shared" si="0"/>
        <v>10.899677428098995</v>
      </c>
      <c r="F10" s="40">
        <f t="shared" si="0"/>
        <v>8.7314306848301797</v>
      </c>
      <c r="G10" s="40">
        <f t="shared" si="0"/>
        <v>7.3130771522192441</v>
      </c>
      <c r="H10" s="40">
        <f t="shared" si="0"/>
        <v>6.4496684749849305</v>
      </c>
      <c r="I10" s="40">
        <f t="shared" si="0"/>
        <v>5.1855541718555411</v>
      </c>
      <c r="J10" s="40">
        <f t="shared" si="0"/>
        <v>4.7830525778458393</v>
      </c>
      <c r="K10" s="40">
        <f t="shared" si="0"/>
        <v>4.4974139869574987</v>
      </c>
      <c r="L10" s="40">
        <f t="shared" si="0"/>
        <v>3.9803064974689688</v>
      </c>
      <c r="M10" s="40">
        <f t="shared" si="0"/>
        <v>2.750920344674137</v>
      </c>
      <c r="N10" s="40">
        <f t="shared" si="0"/>
        <v>5.5529522024367388</v>
      </c>
      <c r="O10" s="40">
        <f t="shared" si="0"/>
        <v>6.828640430699819</v>
      </c>
    </row>
    <row r="11" spans="1:15" ht="5.5" customHeight="1" x14ac:dyDescent="0.35"/>
    <row r="12" spans="1:15" ht="20.149999999999999" customHeight="1" x14ac:dyDescent="0.35">
      <c r="A12" s="95" t="s">
        <v>290</v>
      </c>
    </row>
  </sheetData>
  <pageMargins left="0.55000000000000004" right="0.55000000000000004" top="0.55000000000000004" bottom="0.55000000000000004" header="0.3" footer="0.3"/>
  <pageSetup scale="5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9E62D-3135-41E0-AAD6-77AC65E09FB7}">
  <dimension ref="A1:I60"/>
  <sheetViews>
    <sheetView workbookViewId="0">
      <selection activeCell="A2" sqref="A2"/>
    </sheetView>
  </sheetViews>
  <sheetFormatPr defaultRowHeight="14.5" x14ac:dyDescent="0.35"/>
  <cols>
    <col min="1" max="1" width="13.54296875" bestFit="1" customWidth="1"/>
    <col min="2" max="2" width="9.26953125" bestFit="1" customWidth="1"/>
    <col min="3" max="3" width="8.453125" bestFit="1" customWidth="1"/>
    <col min="4" max="4" width="11.54296875" bestFit="1" customWidth="1"/>
    <col min="5" max="5" width="10.453125" bestFit="1" customWidth="1"/>
    <col min="6" max="6" width="8.453125" bestFit="1" customWidth="1"/>
    <col min="7" max="7" width="11.7265625" bestFit="1" customWidth="1"/>
    <col min="8" max="8" width="11.54296875" bestFit="1" customWidth="1"/>
    <col min="9" max="10" width="8.453125" bestFit="1" customWidth="1"/>
    <col min="11" max="11" width="11" bestFit="1" customWidth="1"/>
    <col min="12" max="12" width="11.26953125" bestFit="1" customWidth="1"/>
  </cols>
  <sheetData>
    <row r="1" spans="1:9" ht="17.5" x14ac:dyDescent="0.35">
      <c r="A1" s="2" t="str">
        <f>Parameters!$A$92</f>
        <v>TABLE 5J HAD BEEN DRINKING DRIVERS IN FATAL AND INJURY CRASHES BY SEX BY AGE - 2021</v>
      </c>
    </row>
    <row r="3" spans="1:9" ht="15.5" x14ac:dyDescent="0.35">
      <c r="A3" s="59" t="s">
        <v>16</v>
      </c>
      <c r="B3" s="59" t="s">
        <v>20</v>
      </c>
      <c r="C3" s="60"/>
      <c r="D3" s="60"/>
      <c r="E3" s="60"/>
      <c r="F3" s="60"/>
      <c r="G3" s="60"/>
      <c r="H3" s="60"/>
      <c r="I3" s="60"/>
    </row>
    <row r="4" spans="1:9" ht="15.5" x14ac:dyDescent="0.35">
      <c r="A4" s="60"/>
      <c r="B4" s="66" t="s">
        <v>2</v>
      </c>
      <c r="C4" s="66"/>
      <c r="D4" s="66"/>
      <c r="E4" s="66" t="s">
        <v>3</v>
      </c>
      <c r="F4" s="66"/>
      <c r="G4" s="66"/>
      <c r="H4" s="66"/>
      <c r="I4" s="66" t="s">
        <v>276</v>
      </c>
    </row>
    <row r="5" spans="1:9" ht="15.5" x14ac:dyDescent="0.35">
      <c r="A5" s="65" t="s">
        <v>282</v>
      </c>
      <c r="B5" s="63" t="s">
        <v>118</v>
      </c>
      <c r="C5" s="63" t="s">
        <v>119</v>
      </c>
      <c r="D5" s="63" t="s">
        <v>113</v>
      </c>
      <c r="E5" s="63" t="s">
        <v>118</v>
      </c>
      <c r="F5" s="63" t="s">
        <v>119</v>
      </c>
      <c r="G5" s="63" t="s">
        <v>120</v>
      </c>
      <c r="H5" s="63" t="s">
        <v>113</v>
      </c>
      <c r="I5" s="66"/>
    </row>
    <row r="6" spans="1:9" ht="15.5" x14ac:dyDescent="0.35">
      <c r="A6" s="61" t="s">
        <v>131</v>
      </c>
      <c r="B6" s="69">
        <v>1</v>
      </c>
      <c r="C6" s="69">
        <v>0</v>
      </c>
      <c r="D6" s="69">
        <v>0</v>
      </c>
      <c r="E6" s="69">
        <v>17</v>
      </c>
      <c r="F6" s="69">
        <v>7</v>
      </c>
      <c r="G6" s="69">
        <v>0</v>
      </c>
      <c r="H6" s="69">
        <v>0</v>
      </c>
      <c r="I6" s="69">
        <v>25</v>
      </c>
    </row>
    <row r="7" spans="1:9" ht="15.5" x14ac:dyDescent="0.35">
      <c r="A7" s="61" t="s">
        <v>132</v>
      </c>
      <c r="B7" s="69">
        <v>0</v>
      </c>
      <c r="C7" s="69">
        <v>0</v>
      </c>
      <c r="D7" s="69">
        <v>0</v>
      </c>
      <c r="E7" s="69">
        <v>5</v>
      </c>
      <c r="F7" s="69">
        <v>2</v>
      </c>
      <c r="G7" s="69">
        <v>0</v>
      </c>
      <c r="H7" s="69">
        <v>0</v>
      </c>
      <c r="I7" s="69">
        <v>7</v>
      </c>
    </row>
    <row r="8" spans="1:9" ht="15.5" x14ac:dyDescent="0.35">
      <c r="A8" s="61" t="s">
        <v>133</v>
      </c>
      <c r="B8" s="69">
        <v>3</v>
      </c>
      <c r="C8" s="69">
        <v>0</v>
      </c>
      <c r="D8" s="69">
        <v>0</v>
      </c>
      <c r="E8" s="69">
        <v>28</v>
      </c>
      <c r="F8" s="69">
        <v>12</v>
      </c>
      <c r="G8" s="69">
        <v>0</v>
      </c>
      <c r="H8" s="69">
        <v>0</v>
      </c>
      <c r="I8" s="69">
        <v>43</v>
      </c>
    </row>
    <row r="9" spans="1:9" ht="15.5" x14ac:dyDescent="0.35">
      <c r="A9" s="61" t="s">
        <v>134</v>
      </c>
      <c r="B9" s="69">
        <v>8</v>
      </c>
      <c r="C9" s="69">
        <v>3</v>
      </c>
      <c r="D9" s="69">
        <v>0</v>
      </c>
      <c r="E9" s="69">
        <v>57</v>
      </c>
      <c r="F9" s="69">
        <v>31</v>
      </c>
      <c r="G9" s="69">
        <v>0</v>
      </c>
      <c r="H9" s="69">
        <v>0</v>
      </c>
      <c r="I9" s="69">
        <v>99</v>
      </c>
    </row>
    <row r="10" spans="1:9" ht="15.5" x14ac:dyDescent="0.35">
      <c r="A10" s="61" t="s">
        <v>135</v>
      </c>
      <c r="B10" s="69">
        <v>10</v>
      </c>
      <c r="C10" s="69">
        <v>5</v>
      </c>
      <c r="D10" s="69">
        <v>0</v>
      </c>
      <c r="E10" s="69">
        <v>182</v>
      </c>
      <c r="F10" s="69">
        <v>48</v>
      </c>
      <c r="G10" s="69">
        <v>0</v>
      </c>
      <c r="H10" s="69">
        <v>3</v>
      </c>
      <c r="I10" s="69">
        <v>248</v>
      </c>
    </row>
    <row r="11" spans="1:9" ht="15.5" x14ac:dyDescent="0.35">
      <c r="A11" s="61" t="s">
        <v>136</v>
      </c>
      <c r="B11" s="69">
        <v>17</v>
      </c>
      <c r="C11" s="69">
        <v>6</v>
      </c>
      <c r="D11" s="69">
        <v>0</v>
      </c>
      <c r="E11" s="69">
        <v>294</v>
      </c>
      <c r="F11" s="69">
        <v>119</v>
      </c>
      <c r="G11" s="69">
        <v>0</v>
      </c>
      <c r="H11" s="69">
        <v>1</v>
      </c>
      <c r="I11" s="69">
        <v>437</v>
      </c>
    </row>
    <row r="12" spans="1:9" ht="15.5" x14ac:dyDescent="0.35">
      <c r="A12" s="61" t="s">
        <v>137</v>
      </c>
      <c r="B12" s="69">
        <v>21</v>
      </c>
      <c r="C12" s="69">
        <v>6</v>
      </c>
      <c r="D12" s="69">
        <v>0</v>
      </c>
      <c r="E12" s="69">
        <v>380</v>
      </c>
      <c r="F12" s="69">
        <v>145</v>
      </c>
      <c r="G12" s="69">
        <v>0</v>
      </c>
      <c r="H12" s="69">
        <v>1</v>
      </c>
      <c r="I12" s="69">
        <v>553</v>
      </c>
    </row>
    <row r="13" spans="1:9" ht="15.5" x14ac:dyDescent="0.35">
      <c r="A13" s="61" t="s">
        <v>138</v>
      </c>
      <c r="B13" s="69">
        <v>32</v>
      </c>
      <c r="C13" s="69">
        <v>11</v>
      </c>
      <c r="D13" s="69">
        <v>0</v>
      </c>
      <c r="E13" s="69">
        <v>510</v>
      </c>
      <c r="F13" s="69">
        <v>198</v>
      </c>
      <c r="G13" s="69">
        <v>0</v>
      </c>
      <c r="H13" s="69">
        <v>2</v>
      </c>
      <c r="I13" s="69">
        <v>753</v>
      </c>
    </row>
    <row r="14" spans="1:9" ht="15.5" x14ac:dyDescent="0.35">
      <c r="A14" s="61" t="s">
        <v>139</v>
      </c>
      <c r="B14" s="69">
        <v>32</v>
      </c>
      <c r="C14" s="69">
        <v>13</v>
      </c>
      <c r="D14" s="69">
        <v>0</v>
      </c>
      <c r="E14" s="69">
        <v>563</v>
      </c>
      <c r="F14" s="69">
        <v>247</v>
      </c>
      <c r="G14" s="69">
        <v>0</v>
      </c>
      <c r="H14" s="69">
        <v>4</v>
      </c>
      <c r="I14" s="69">
        <v>859</v>
      </c>
    </row>
    <row r="15" spans="1:9" ht="15.5" x14ac:dyDescent="0.35">
      <c r="A15" s="61" t="s">
        <v>140</v>
      </c>
      <c r="B15" s="69">
        <v>28</v>
      </c>
      <c r="C15" s="69">
        <v>6</v>
      </c>
      <c r="D15" s="69">
        <v>1</v>
      </c>
      <c r="E15" s="69">
        <v>558</v>
      </c>
      <c r="F15" s="69">
        <v>224</v>
      </c>
      <c r="G15" s="69">
        <v>0</v>
      </c>
      <c r="H15" s="69">
        <v>4</v>
      </c>
      <c r="I15" s="69">
        <v>821</v>
      </c>
    </row>
    <row r="16" spans="1:9" ht="15.5" x14ac:dyDescent="0.35">
      <c r="A16" s="61" t="s">
        <v>141</v>
      </c>
      <c r="B16" s="69">
        <v>32</v>
      </c>
      <c r="C16" s="69">
        <v>13</v>
      </c>
      <c r="D16" s="69">
        <v>0</v>
      </c>
      <c r="E16" s="69">
        <v>550</v>
      </c>
      <c r="F16" s="69">
        <v>244</v>
      </c>
      <c r="G16" s="69">
        <v>0</v>
      </c>
      <c r="H16" s="69">
        <v>4</v>
      </c>
      <c r="I16" s="69">
        <v>843</v>
      </c>
    </row>
    <row r="17" spans="1:9" ht="15.5" x14ac:dyDescent="0.35">
      <c r="A17" s="61" t="s">
        <v>142</v>
      </c>
      <c r="B17" s="69">
        <v>32</v>
      </c>
      <c r="C17" s="69">
        <v>8</v>
      </c>
      <c r="D17" s="69">
        <v>0</v>
      </c>
      <c r="E17" s="69">
        <v>629</v>
      </c>
      <c r="F17" s="69">
        <v>250</v>
      </c>
      <c r="G17" s="69">
        <v>0</v>
      </c>
      <c r="H17" s="69">
        <v>2</v>
      </c>
      <c r="I17" s="69">
        <v>921</v>
      </c>
    </row>
    <row r="18" spans="1:9" ht="15.5" x14ac:dyDescent="0.35">
      <c r="A18" s="61" t="s">
        <v>143</v>
      </c>
      <c r="B18" s="69">
        <v>25</v>
      </c>
      <c r="C18" s="69">
        <v>14</v>
      </c>
      <c r="D18" s="69">
        <v>0</v>
      </c>
      <c r="E18" s="69">
        <v>608</v>
      </c>
      <c r="F18" s="69">
        <v>219</v>
      </c>
      <c r="G18" s="69">
        <v>0</v>
      </c>
      <c r="H18" s="69">
        <v>0</v>
      </c>
      <c r="I18" s="69">
        <v>866</v>
      </c>
    </row>
    <row r="19" spans="1:9" ht="15.5" x14ac:dyDescent="0.35">
      <c r="A19" s="61" t="s">
        <v>144</v>
      </c>
      <c r="B19" s="69">
        <v>38</v>
      </c>
      <c r="C19" s="69">
        <v>10</v>
      </c>
      <c r="D19" s="69">
        <v>0</v>
      </c>
      <c r="E19" s="69">
        <v>529</v>
      </c>
      <c r="F19" s="69">
        <v>230</v>
      </c>
      <c r="G19" s="69">
        <v>0</v>
      </c>
      <c r="H19" s="69">
        <v>4</v>
      </c>
      <c r="I19" s="69">
        <v>811</v>
      </c>
    </row>
    <row r="20" spans="1:9" ht="15.5" x14ac:dyDescent="0.35">
      <c r="A20" s="61" t="s">
        <v>145</v>
      </c>
      <c r="B20" s="69">
        <v>29</v>
      </c>
      <c r="C20" s="69">
        <v>10</v>
      </c>
      <c r="D20" s="69">
        <v>0</v>
      </c>
      <c r="E20" s="69">
        <v>539</v>
      </c>
      <c r="F20" s="69">
        <v>225</v>
      </c>
      <c r="G20" s="69">
        <v>0</v>
      </c>
      <c r="H20" s="69">
        <v>4</v>
      </c>
      <c r="I20" s="69">
        <v>807</v>
      </c>
    </row>
    <row r="21" spans="1:9" ht="15.5" x14ac:dyDescent="0.35">
      <c r="A21" s="61" t="s">
        <v>146</v>
      </c>
      <c r="B21" s="69">
        <v>34</v>
      </c>
      <c r="C21" s="69">
        <v>13</v>
      </c>
      <c r="D21" s="69">
        <v>0</v>
      </c>
      <c r="E21" s="69">
        <v>547</v>
      </c>
      <c r="F21" s="69">
        <v>235</v>
      </c>
      <c r="G21" s="69">
        <v>0</v>
      </c>
      <c r="H21" s="69">
        <v>0</v>
      </c>
      <c r="I21" s="69">
        <v>829</v>
      </c>
    </row>
    <row r="22" spans="1:9" ht="15.5" x14ac:dyDescent="0.35">
      <c r="A22" s="61" t="s">
        <v>147</v>
      </c>
      <c r="B22" s="69">
        <v>32</v>
      </c>
      <c r="C22" s="69">
        <v>6</v>
      </c>
      <c r="D22" s="69">
        <v>0</v>
      </c>
      <c r="E22" s="69">
        <v>466</v>
      </c>
      <c r="F22" s="69">
        <v>198</v>
      </c>
      <c r="G22" s="69">
        <v>0</v>
      </c>
      <c r="H22" s="69">
        <v>1</v>
      </c>
      <c r="I22" s="69">
        <v>703</v>
      </c>
    </row>
    <row r="23" spans="1:9" ht="15.5" x14ac:dyDescent="0.35">
      <c r="A23" s="61" t="s">
        <v>148</v>
      </c>
      <c r="B23" s="69">
        <v>29</v>
      </c>
      <c r="C23" s="69">
        <v>0</v>
      </c>
      <c r="D23" s="69">
        <v>0</v>
      </c>
      <c r="E23" s="69">
        <v>437</v>
      </c>
      <c r="F23" s="69">
        <v>159</v>
      </c>
      <c r="G23" s="69">
        <v>0</v>
      </c>
      <c r="H23" s="69">
        <v>1</v>
      </c>
      <c r="I23" s="69">
        <v>626</v>
      </c>
    </row>
    <row r="24" spans="1:9" ht="15.5" x14ac:dyDescent="0.35">
      <c r="A24" s="61" t="s">
        <v>149</v>
      </c>
      <c r="B24" s="69">
        <v>25</v>
      </c>
      <c r="C24" s="69">
        <v>2</v>
      </c>
      <c r="D24" s="69">
        <v>0</v>
      </c>
      <c r="E24" s="69">
        <v>415</v>
      </c>
      <c r="F24" s="69">
        <v>152</v>
      </c>
      <c r="G24" s="69">
        <v>0</v>
      </c>
      <c r="H24" s="69">
        <v>1</v>
      </c>
      <c r="I24" s="69">
        <v>595</v>
      </c>
    </row>
    <row r="25" spans="1:9" ht="15.5" x14ac:dyDescent="0.35">
      <c r="A25" s="61" t="s">
        <v>150</v>
      </c>
      <c r="B25" s="69">
        <v>28</v>
      </c>
      <c r="C25" s="69">
        <v>6</v>
      </c>
      <c r="D25" s="69">
        <v>0</v>
      </c>
      <c r="E25" s="69">
        <v>388</v>
      </c>
      <c r="F25" s="69">
        <v>140</v>
      </c>
      <c r="G25" s="69">
        <v>0</v>
      </c>
      <c r="H25" s="69">
        <v>0</v>
      </c>
      <c r="I25" s="69">
        <v>562</v>
      </c>
    </row>
    <row r="26" spans="1:9" ht="15.5" x14ac:dyDescent="0.35">
      <c r="A26" s="61" t="s">
        <v>151</v>
      </c>
      <c r="B26" s="69">
        <v>26</v>
      </c>
      <c r="C26" s="69">
        <v>4</v>
      </c>
      <c r="D26" s="69">
        <v>0</v>
      </c>
      <c r="E26" s="69">
        <v>333</v>
      </c>
      <c r="F26" s="69">
        <v>141</v>
      </c>
      <c r="G26" s="69">
        <v>0</v>
      </c>
      <c r="H26" s="69">
        <v>1</v>
      </c>
      <c r="I26" s="69">
        <v>505</v>
      </c>
    </row>
    <row r="27" spans="1:9" ht="15.5" x14ac:dyDescent="0.35">
      <c r="A27" s="61" t="s">
        <v>152</v>
      </c>
      <c r="B27" s="69">
        <v>27</v>
      </c>
      <c r="C27" s="69">
        <v>4</v>
      </c>
      <c r="D27" s="69">
        <v>0</v>
      </c>
      <c r="E27" s="69">
        <v>325</v>
      </c>
      <c r="F27" s="69">
        <v>118</v>
      </c>
      <c r="G27" s="69">
        <v>0</v>
      </c>
      <c r="H27" s="69">
        <v>3</v>
      </c>
      <c r="I27" s="69">
        <v>477</v>
      </c>
    </row>
    <row r="28" spans="1:9" ht="15.5" x14ac:dyDescent="0.35">
      <c r="A28" s="61" t="s">
        <v>153</v>
      </c>
      <c r="B28" s="69">
        <v>16</v>
      </c>
      <c r="C28" s="69">
        <v>3</v>
      </c>
      <c r="D28" s="69">
        <v>0</v>
      </c>
      <c r="E28" s="69">
        <v>288</v>
      </c>
      <c r="F28" s="69">
        <v>102</v>
      </c>
      <c r="G28" s="69">
        <v>0</v>
      </c>
      <c r="H28" s="69">
        <v>1</v>
      </c>
      <c r="I28" s="69">
        <v>410</v>
      </c>
    </row>
    <row r="29" spans="1:9" ht="15.5" x14ac:dyDescent="0.35">
      <c r="A29" s="61" t="s">
        <v>154</v>
      </c>
      <c r="B29" s="69">
        <v>27</v>
      </c>
      <c r="C29" s="69">
        <v>4</v>
      </c>
      <c r="D29" s="69">
        <v>0</v>
      </c>
      <c r="E29" s="69">
        <v>287</v>
      </c>
      <c r="F29" s="69">
        <v>115</v>
      </c>
      <c r="G29" s="69">
        <v>0</v>
      </c>
      <c r="H29" s="69">
        <v>0</v>
      </c>
      <c r="I29" s="69">
        <v>433</v>
      </c>
    </row>
    <row r="30" spans="1:9" ht="15.5" x14ac:dyDescent="0.35">
      <c r="A30" s="61" t="s">
        <v>155</v>
      </c>
      <c r="B30" s="69">
        <v>18</v>
      </c>
      <c r="C30" s="69">
        <v>3</v>
      </c>
      <c r="D30" s="69">
        <v>0</v>
      </c>
      <c r="E30" s="69">
        <v>260</v>
      </c>
      <c r="F30" s="69">
        <v>104</v>
      </c>
      <c r="G30" s="69">
        <v>0</v>
      </c>
      <c r="H30" s="69">
        <v>0</v>
      </c>
      <c r="I30" s="69">
        <v>385</v>
      </c>
    </row>
    <row r="31" spans="1:9" ht="15.5" x14ac:dyDescent="0.35">
      <c r="A31" s="61" t="s">
        <v>156</v>
      </c>
      <c r="B31" s="69">
        <v>17</v>
      </c>
      <c r="C31" s="69">
        <v>0</v>
      </c>
      <c r="D31" s="69">
        <v>0</v>
      </c>
      <c r="E31" s="69">
        <v>275</v>
      </c>
      <c r="F31" s="69">
        <v>86</v>
      </c>
      <c r="G31" s="69">
        <v>0</v>
      </c>
      <c r="H31" s="69">
        <v>0</v>
      </c>
      <c r="I31" s="69">
        <v>378</v>
      </c>
    </row>
    <row r="32" spans="1:9" ht="15.5" x14ac:dyDescent="0.35">
      <c r="A32" s="61" t="s">
        <v>157</v>
      </c>
      <c r="B32" s="69">
        <v>21</v>
      </c>
      <c r="C32" s="69">
        <v>4</v>
      </c>
      <c r="D32" s="69">
        <v>0</v>
      </c>
      <c r="E32" s="69">
        <v>257</v>
      </c>
      <c r="F32" s="69">
        <v>82</v>
      </c>
      <c r="G32" s="69">
        <v>0</v>
      </c>
      <c r="H32" s="69">
        <v>0</v>
      </c>
      <c r="I32" s="69">
        <v>364</v>
      </c>
    </row>
    <row r="33" spans="1:9" ht="15.5" x14ac:dyDescent="0.35">
      <c r="A33" s="61" t="s">
        <v>158</v>
      </c>
      <c r="B33" s="69">
        <v>14</v>
      </c>
      <c r="C33" s="69">
        <v>6</v>
      </c>
      <c r="D33" s="69">
        <v>0</v>
      </c>
      <c r="E33" s="69">
        <v>263</v>
      </c>
      <c r="F33" s="69">
        <v>77</v>
      </c>
      <c r="G33" s="69">
        <v>0</v>
      </c>
      <c r="H33" s="69">
        <v>0</v>
      </c>
      <c r="I33" s="69">
        <v>360</v>
      </c>
    </row>
    <row r="34" spans="1:9" ht="15.5" x14ac:dyDescent="0.35">
      <c r="A34" s="61" t="s">
        <v>159</v>
      </c>
      <c r="B34" s="69">
        <v>13</v>
      </c>
      <c r="C34" s="69">
        <v>1</v>
      </c>
      <c r="D34" s="69">
        <v>0</v>
      </c>
      <c r="E34" s="69">
        <v>226</v>
      </c>
      <c r="F34" s="69">
        <v>85</v>
      </c>
      <c r="G34" s="69">
        <v>0</v>
      </c>
      <c r="H34" s="69">
        <v>3</v>
      </c>
      <c r="I34" s="69">
        <v>328</v>
      </c>
    </row>
    <row r="35" spans="1:9" ht="15.5" x14ac:dyDescent="0.35">
      <c r="A35" s="61" t="s">
        <v>160</v>
      </c>
      <c r="B35" s="69">
        <v>13</v>
      </c>
      <c r="C35" s="69">
        <v>3</v>
      </c>
      <c r="D35" s="69">
        <v>0</v>
      </c>
      <c r="E35" s="69">
        <v>210</v>
      </c>
      <c r="F35" s="69">
        <v>61</v>
      </c>
      <c r="G35" s="69">
        <v>0</v>
      </c>
      <c r="H35" s="69">
        <v>0</v>
      </c>
      <c r="I35" s="69">
        <v>287</v>
      </c>
    </row>
    <row r="36" spans="1:9" ht="15.5" x14ac:dyDescent="0.35">
      <c r="A36" s="61" t="s">
        <v>161</v>
      </c>
      <c r="B36" s="69">
        <v>11</v>
      </c>
      <c r="C36" s="69">
        <v>1</v>
      </c>
      <c r="D36" s="69">
        <v>0</v>
      </c>
      <c r="E36" s="69">
        <v>163</v>
      </c>
      <c r="F36" s="69">
        <v>70</v>
      </c>
      <c r="G36" s="69">
        <v>0</v>
      </c>
      <c r="H36" s="69">
        <v>1</v>
      </c>
      <c r="I36" s="69">
        <v>246</v>
      </c>
    </row>
    <row r="37" spans="1:9" ht="15.5" x14ac:dyDescent="0.35">
      <c r="A37" s="61" t="s">
        <v>162</v>
      </c>
      <c r="B37" s="69">
        <v>6</v>
      </c>
      <c r="C37" s="69">
        <v>5</v>
      </c>
      <c r="D37" s="69">
        <v>0</v>
      </c>
      <c r="E37" s="69">
        <v>171</v>
      </c>
      <c r="F37" s="69">
        <v>68</v>
      </c>
      <c r="G37" s="69">
        <v>0</v>
      </c>
      <c r="H37" s="69">
        <v>0</v>
      </c>
      <c r="I37" s="69">
        <v>250</v>
      </c>
    </row>
    <row r="38" spans="1:9" ht="15.5" x14ac:dyDescent="0.35">
      <c r="A38" s="61" t="s">
        <v>163</v>
      </c>
      <c r="B38" s="69">
        <v>10</v>
      </c>
      <c r="C38" s="69">
        <v>2</v>
      </c>
      <c r="D38" s="69">
        <v>0</v>
      </c>
      <c r="E38" s="69">
        <v>143</v>
      </c>
      <c r="F38" s="69">
        <v>59</v>
      </c>
      <c r="G38" s="69">
        <v>0</v>
      </c>
      <c r="H38" s="69">
        <v>1</v>
      </c>
      <c r="I38" s="69">
        <v>215</v>
      </c>
    </row>
    <row r="39" spans="1:9" ht="15.5" x14ac:dyDescent="0.35">
      <c r="A39" s="61" t="s">
        <v>164</v>
      </c>
      <c r="B39" s="69">
        <v>13</v>
      </c>
      <c r="C39" s="69">
        <v>2</v>
      </c>
      <c r="D39" s="69">
        <v>0</v>
      </c>
      <c r="E39" s="69">
        <v>126</v>
      </c>
      <c r="F39" s="69">
        <v>59</v>
      </c>
      <c r="G39" s="69">
        <v>0</v>
      </c>
      <c r="H39" s="69">
        <v>1</v>
      </c>
      <c r="I39" s="69">
        <v>201</v>
      </c>
    </row>
    <row r="40" spans="1:9" ht="15.5" x14ac:dyDescent="0.35">
      <c r="A40" s="61" t="s">
        <v>165</v>
      </c>
      <c r="B40" s="69">
        <v>7</v>
      </c>
      <c r="C40" s="69">
        <v>1</v>
      </c>
      <c r="D40" s="69">
        <v>0</v>
      </c>
      <c r="E40" s="69">
        <v>159</v>
      </c>
      <c r="F40" s="69">
        <v>45</v>
      </c>
      <c r="G40" s="69">
        <v>0</v>
      </c>
      <c r="H40" s="69">
        <v>1</v>
      </c>
      <c r="I40" s="69">
        <v>213</v>
      </c>
    </row>
    <row r="41" spans="1:9" ht="15.5" x14ac:dyDescent="0.35">
      <c r="A41" s="61" t="s">
        <v>166</v>
      </c>
      <c r="B41" s="69">
        <v>7</v>
      </c>
      <c r="C41" s="69">
        <v>1</v>
      </c>
      <c r="D41" s="69">
        <v>0</v>
      </c>
      <c r="E41" s="69">
        <v>153</v>
      </c>
      <c r="F41" s="69">
        <v>55</v>
      </c>
      <c r="G41" s="69">
        <v>0</v>
      </c>
      <c r="H41" s="69">
        <v>0</v>
      </c>
      <c r="I41" s="69">
        <v>216</v>
      </c>
    </row>
    <row r="42" spans="1:9" ht="15.5" x14ac:dyDescent="0.35">
      <c r="A42" s="61" t="s">
        <v>167</v>
      </c>
      <c r="B42" s="69">
        <v>16</v>
      </c>
      <c r="C42" s="69">
        <v>1</v>
      </c>
      <c r="D42" s="69">
        <v>0</v>
      </c>
      <c r="E42" s="69">
        <v>158</v>
      </c>
      <c r="F42" s="69">
        <v>48</v>
      </c>
      <c r="G42" s="69">
        <v>0</v>
      </c>
      <c r="H42" s="69">
        <v>3</v>
      </c>
      <c r="I42" s="69">
        <v>226</v>
      </c>
    </row>
    <row r="43" spans="1:9" ht="15.5" x14ac:dyDescent="0.35">
      <c r="A43" s="61" t="s">
        <v>168</v>
      </c>
      <c r="B43" s="69">
        <v>10</v>
      </c>
      <c r="C43" s="69">
        <v>2</v>
      </c>
      <c r="D43" s="69">
        <v>0</v>
      </c>
      <c r="E43" s="69">
        <v>172</v>
      </c>
      <c r="F43" s="69">
        <v>48</v>
      </c>
      <c r="G43" s="69">
        <v>0</v>
      </c>
      <c r="H43" s="69">
        <v>1</v>
      </c>
      <c r="I43" s="69">
        <v>233</v>
      </c>
    </row>
    <row r="44" spans="1:9" ht="15.5" x14ac:dyDescent="0.35">
      <c r="A44" s="61" t="s">
        <v>169</v>
      </c>
      <c r="B44" s="69">
        <v>11</v>
      </c>
      <c r="C44" s="69">
        <v>2</v>
      </c>
      <c r="D44" s="69">
        <v>0</v>
      </c>
      <c r="E44" s="69">
        <v>128</v>
      </c>
      <c r="F44" s="69">
        <v>46</v>
      </c>
      <c r="G44" s="69">
        <v>0</v>
      </c>
      <c r="H44" s="69">
        <v>1</v>
      </c>
      <c r="I44" s="69">
        <v>188</v>
      </c>
    </row>
    <row r="45" spans="1:9" ht="15.5" x14ac:dyDescent="0.35">
      <c r="A45" s="61" t="s">
        <v>170</v>
      </c>
      <c r="B45" s="69">
        <v>7</v>
      </c>
      <c r="C45" s="69">
        <v>3</v>
      </c>
      <c r="D45" s="69">
        <v>0</v>
      </c>
      <c r="E45" s="69">
        <v>130</v>
      </c>
      <c r="F45" s="69">
        <v>32</v>
      </c>
      <c r="G45" s="69">
        <v>0</v>
      </c>
      <c r="H45" s="69">
        <v>0</v>
      </c>
      <c r="I45" s="69">
        <v>172</v>
      </c>
    </row>
    <row r="46" spans="1:9" ht="15.5" x14ac:dyDescent="0.35">
      <c r="A46" s="61" t="s">
        <v>171</v>
      </c>
      <c r="B46" s="69">
        <v>12</v>
      </c>
      <c r="C46" s="69">
        <v>0</v>
      </c>
      <c r="D46" s="69">
        <v>0</v>
      </c>
      <c r="E46" s="69">
        <v>130</v>
      </c>
      <c r="F46" s="69">
        <v>40</v>
      </c>
      <c r="G46" s="69">
        <v>0</v>
      </c>
      <c r="H46" s="69">
        <v>0</v>
      </c>
      <c r="I46" s="69">
        <v>182</v>
      </c>
    </row>
    <row r="47" spans="1:9" ht="15.5" x14ac:dyDescent="0.35">
      <c r="A47" s="61" t="s">
        <v>172</v>
      </c>
      <c r="B47" s="69">
        <v>12</v>
      </c>
      <c r="C47" s="69">
        <v>3</v>
      </c>
      <c r="D47" s="69">
        <v>0</v>
      </c>
      <c r="E47" s="69">
        <v>138</v>
      </c>
      <c r="F47" s="69">
        <v>38</v>
      </c>
      <c r="G47" s="69">
        <v>0</v>
      </c>
      <c r="H47" s="69">
        <v>0</v>
      </c>
      <c r="I47" s="69">
        <v>191</v>
      </c>
    </row>
    <row r="48" spans="1:9" ht="15.5" x14ac:dyDescent="0.35">
      <c r="A48" s="61" t="s">
        <v>173</v>
      </c>
      <c r="B48" s="69">
        <v>2</v>
      </c>
      <c r="C48" s="69">
        <v>3</v>
      </c>
      <c r="D48" s="69">
        <v>0</v>
      </c>
      <c r="E48" s="69">
        <v>121</v>
      </c>
      <c r="F48" s="69">
        <v>34</v>
      </c>
      <c r="G48" s="69">
        <v>0</v>
      </c>
      <c r="H48" s="69">
        <v>0</v>
      </c>
      <c r="I48" s="69">
        <v>160</v>
      </c>
    </row>
    <row r="49" spans="1:9" ht="15.5" x14ac:dyDescent="0.35">
      <c r="A49" s="61" t="s">
        <v>174</v>
      </c>
      <c r="B49" s="69">
        <v>12</v>
      </c>
      <c r="C49" s="69">
        <v>2</v>
      </c>
      <c r="D49" s="69">
        <v>0</v>
      </c>
      <c r="E49" s="69">
        <v>111</v>
      </c>
      <c r="F49" s="69">
        <v>43</v>
      </c>
      <c r="G49" s="69">
        <v>0</v>
      </c>
      <c r="H49" s="69">
        <v>1</v>
      </c>
      <c r="I49" s="69">
        <v>169</v>
      </c>
    </row>
    <row r="50" spans="1:9" ht="15.5" x14ac:dyDescent="0.35">
      <c r="A50" s="61" t="s">
        <v>175</v>
      </c>
      <c r="B50" s="69">
        <v>11</v>
      </c>
      <c r="C50" s="69">
        <v>1</v>
      </c>
      <c r="D50" s="69">
        <v>0</v>
      </c>
      <c r="E50" s="69">
        <v>117</v>
      </c>
      <c r="F50" s="69">
        <v>46</v>
      </c>
      <c r="G50" s="69">
        <v>0</v>
      </c>
      <c r="H50" s="69">
        <v>0</v>
      </c>
      <c r="I50" s="69">
        <v>175</v>
      </c>
    </row>
    <row r="51" spans="1:9" ht="15.5" x14ac:dyDescent="0.35">
      <c r="A51" s="61" t="s">
        <v>176</v>
      </c>
      <c r="B51" s="69">
        <v>8</v>
      </c>
      <c r="C51" s="69">
        <v>1</v>
      </c>
      <c r="D51" s="69">
        <v>0</v>
      </c>
      <c r="E51" s="69">
        <v>99</v>
      </c>
      <c r="F51" s="69">
        <v>51</v>
      </c>
      <c r="G51" s="69">
        <v>0</v>
      </c>
      <c r="H51" s="69">
        <v>1</v>
      </c>
      <c r="I51" s="69">
        <v>160</v>
      </c>
    </row>
    <row r="52" spans="1:9" ht="15.5" x14ac:dyDescent="0.35">
      <c r="A52" s="61" t="s">
        <v>177</v>
      </c>
      <c r="B52" s="69">
        <v>29</v>
      </c>
      <c r="C52" s="69">
        <v>4</v>
      </c>
      <c r="D52" s="69">
        <v>0</v>
      </c>
      <c r="E52" s="69">
        <v>427</v>
      </c>
      <c r="F52" s="69">
        <v>146</v>
      </c>
      <c r="G52" s="69">
        <v>0</v>
      </c>
      <c r="H52" s="69">
        <v>1</v>
      </c>
      <c r="I52" s="69">
        <v>607</v>
      </c>
    </row>
    <row r="53" spans="1:9" ht="15.5" x14ac:dyDescent="0.35">
      <c r="A53" s="61" t="s">
        <v>178</v>
      </c>
      <c r="B53" s="69">
        <v>22</v>
      </c>
      <c r="C53" s="69">
        <v>2</v>
      </c>
      <c r="D53" s="69">
        <v>0</v>
      </c>
      <c r="E53" s="69">
        <v>267</v>
      </c>
      <c r="F53" s="69">
        <v>94</v>
      </c>
      <c r="G53" s="69">
        <v>0</v>
      </c>
      <c r="H53" s="69">
        <v>1</v>
      </c>
      <c r="I53" s="69">
        <v>386</v>
      </c>
    </row>
    <row r="54" spans="1:9" ht="15.5" x14ac:dyDescent="0.35">
      <c r="A54" s="61" t="s">
        <v>179</v>
      </c>
      <c r="B54" s="69">
        <v>9</v>
      </c>
      <c r="C54" s="69">
        <v>3</v>
      </c>
      <c r="D54" s="69">
        <v>0</v>
      </c>
      <c r="E54" s="69">
        <v>129</v>
      </c>
      <c r="F54" s="69">
        <v>53</v>
      </c>
      <c r="G54" s="69">
        <v>0</v>
      </c>
      <c r="H54" s="69">
        <v>2</v>
      </c>
      <c r="I54" s="69">
        <v>196</v>
      </c>
    </row>
    <row r="55" spans="1:9" ht="15.5" x14ac:dyDescent="0.35">
      <c r="A55" s="61" t="s">
        <v>180</v>
      </c>
      <c r="B55" s="69">
        <v>4</v>
      </c>
      <c r="C55" s="69">
        <v>0</v>
      </c>
      <c r="D55" s="69">
        <v>0</v>
      </c>
      <c r="E55" s="69">
        <v>64</v>
      </c>
      <c r="F55" s="69">
        <v>25</v>
      </c>
      <c r="G55" s="69">
        <v>0</v>
      </c>
      <c r="H55" s="69">
        <v>0</v>
      </c>
      <c r="I55" s="69">
        <v>93</v>
      </c>
    </row>
    <row r="56" spans="1:9" ht="15.5" x14ac:dyDescent="0.35">
      <c r="A56" s="61" t="s">
        <v>181</v>
      </c>
      <c r="B56" s="69">
        <v>0</v>
      </c>
      <c r="C56" s="69">
        <v>1</v>
      </c>
      <c r="D56" s="69">
        <v>0</v>
      </c>
      <c r="E56" s="69">
        <v>17</v>
      </c>
      <c r="F56" s="69">
        <v>9</v>
      </c>
      <c r="G56" s="69">
        <v>0</v>
      </c>
      <c r="H56" s="69">
        <v>0</v>
      </c>
      <c r="I56" s="69">
        <v>27</v>
      </c>
    </row>
    <row r="57" spans="1:9" ht="15.5" x14ac:dyDescent="0.35">
      <c r="A57" s="61" t="s">
        <v>182</v>
      </c>
      <c r="B57" s="69">
        <v>2</v>
      </c>
      <c r="C57" s="69">
        <v>0</v>
      </c>
      <c r="D57" s="69">
        <v>0</v>
      </c>
      <c r="E57" s="69">
        <v>6</v>
      </c>
      <c r="F57" s="69">
        <v>5</v>
      </c>
      <c r="G57" s="69">
        <v>0</v>
      </c>
      <c r="H57" s="69">
        <v>0</v>
      </c>
      <c r="I57" s="69">
        <v>13</v>
      </c>
    </row>
    <row r="58" spans="1:9" ht="15.5" x14ac:dyDescent="0.35">
      <c r="A58" s="61" t="s">
        <v>183</v>
      </c>
      <c r="B58" s="69">
        <v>0</v>
      </c>
      <c r="C58" s="69">
        <v>0</v>
      </c>
      <c r="D58" s="69">
        <v>0</v>
      </c>
      <c r="E58" s="69">
        <v>5</v>
      </c>
      <c r="F58" s="69">
        <v>3</v>
      </c>
      <c r="G58" s="69">
        <v>0</v>
      </c>
      <c r="H58" s="69">
        <v>0</v>
      </c>
      <c r="I58" s="69">
        <v>8</v>
      </c>
    </row>
    <row r="59" spans="1:9" ht="15.5" x14ac:dyDescent="0.35">
      <c r="A59" s="61" t="s">
        <v>113</v>
      </c>
      <c r="B59" s="69">
        <v>1</v>
      </c>
      <c r="C59" s="69">
        <v>0</v>
      </c>
      <c r="D59" s="69">
        <v>8</v>
      </c>
      <c r="E59" s="69">
        <v>180</v>
      </c>
      <c r="F59" s="69">
        <v>63</v>
      </c>
      <c r="G59" s="69">
        <v>5</v>
      </c>
      <c r="H59" s="69">
        <v>700</v>
      </c>
      <c r="I59" s="69">
        <v>957</v>
      </c>
    </row>
    <row r="60" spans="1:9" ht="15.5" x14ac:dyDescent="0.35">
      <c r="A60" s="67" t="s">
        <v>276</v>
      </c>
      <c r="B60" s="69">
        <v>870</v>
      </c>
      <c r="C60" s="69">
        <v>204</v>
      </c>
      <c r="D60" s="69">
        <v>9</v>
      </c>
      <c r="E60" s="69">
        <v>13740</v>
      </c>
      <c r="F60" s="69">
        <v>5236</v>
      </c>
      <c r="G60" s="69">
        <v>5</v>
      </c>
      <c r="H60" s="69">
        <v>755</v>
      </c>
      <c r="I60" s="69">
        <v>20819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D063F-7085-45A1-A92E-2EBE242B0583}">
  <dimension ref="A1:N186"/>
  <sheetViews>
    <sheetView zoomScaleNormal="100" workbookViewId="0">
      <selection activeCell="A2" sqref="A2"/>
    </sheetView>
  </sheetViews>
  <sheetFormatPr defaultColWidth="9.1796875" defaultRowHeight="15" x14ac:dyDescent="0.3"/>
  <cols>
    <col min="1" max="1" width="26.26953125" style="1" bestFit="1" customWidth="1"/>
    <col min="2" max="2" width="10.26953125" style="4" bestFit="1" customWidth="1"/>
    <col min="3" max="3" width="11" style="4" bestFit="1" customWidth="1"/>
    <col min="4" max="4" width="14.7265625" style="4" bestFit="1" customWidth="1"/>
    <col min="5" max="5" width="12" style="4" bestFit="1" customWidth="1"/>
    <col min="6" max="6" width="8.453125" style="4" bestFit="1" customWidth="1"/>
    <col min="7" max="7" width="11.7265625" style="4" bestFit="1" customWidth="1"/>
    <col min="8" max="8" width="9.7265625" style="4" bestFit="1" customWidth="1"/>
    <col min="9" max="9" width="7.453125" style="4" bestFit="1" customWidth="1"/>
    <col min="10" max="10" width="9.1796875" style="4" bestFit="1" customWidth="1"/>
    <col min="11" max="11" width="12.26953125" style="4" bestFit="1" customWidth="1"/>
    <col min="12" max="13" width="12.26953125" style="1" bestFit="1" customWidth="1"/>
    <col min="14" max="14" width="9.1796875" style="1" bestFit="1" customWidth="1"/>
    <col min="15" max="16384" width="9.1796875" style="1"/>
  </cols>
  <sheetData>
    <row r="1" spans="1:14" ht="17.5" x14ac:dyDescent="0.3">
      <c r="A1" s="3" t="str">
        <f>Parameters!$A$95</f>
        <v>TABLE 5K ALCOHOL INVOLVED FATAL CRASHES BY DAY OF WEEK BY HOUR OF DAY - 2021</v>
      </c>
    </row>
    <row r="3" spans="1:14" ht="15.5" x14ac:dyDescent="0.35">
      <c r="A3" s="53" t="s">
        <v>16</v>
      </c>
      <c r="B3" s="30" t="s">
        <v>16</v>
      </c>
      <c r="C3" s="52"/>
      <c r="D3" s="52"/>
      <c r="E3" s="52"/>
      <c r="F3" s="52"/>
      <c r="G3" s="52"/>
      <c r="H3" s="52"/>
      <c r="I3" s="52"/>
      <c r="J3"/>
      <c r="K3"/>
      <c r="L3"/>
      <c r="M3"/>
      <c r="N3"/>
    </row>
    <row r="4" spans="1:14" ht="15.5" x14ac:dyDescent="0.35">
      <c r="A4" s="42" t="s">
        <v>283</v>
      </c>
      <c r="B4" s="57" t="s">
        <v>185</v>
      </c>
      <c r="C4" s="57" t="s">
        <v>186</v>
      </c>
      <c r="D4" s="57" t="s">
        <v>187</v>
      </c>
      <c r="E4" s="57" t="s">
        <v>188</v>
      </c>
      <c r="F4" s="57" t="s">
        <v>189</v>
      </c>
      <c r="G4" s="57" t="s">
        <v>190</v>
      </c>
      <c r="H4" s="57" t="s">
        <v>191</v>
      </c>
      <c r="I4" s="27" t="s">
        <v>276</v>
      </c>
      <c r="J4"/>
      <c r="K4"/>
      <c r="L4"/>
      <c r="M4"/>
      <c r="N4"/>
    </row>
    <row r="5" spans="1:14" ht="15.5" x14ac:dyDescent="0.35">
      <c r="A5" s="28" t="s">
        <v>284</v>
      </c>
      <c r="B5" s="54">
        <v>62</v>
      </c>
      <c r="C5" s="54">
        <v>25</v>
      </c>
      <c r="D5" s="54">
        <v>40</v>
      </c>
      <c r="E5" s="54">
        <v>39</v>
      </c>
      <c r="F5" s="54">
        <v>49</v>
      </c>
      <c r="G5" s="54">
        <v>130</v>
      </c>
      <c r="H5" s="54">
        <v>133</v>
      </c>
      <c r="I5" s="54">
        <v>478</v>
      </c>
      <c r="J5"/>
      <c r="K5"/>
      <c r="L5"/>
      <c r="M5"/>
      <c r="N5"/>
    </row>
    <row r="6" spans="1:14" ht="15.5" x14ac:dyDescent="0.35">
      <c r="A6" s="45" t="s">
        <v>192</v>
      </c>
      <c r="B6" s="54">
        <v>11</v>
      </c>
      <c r="C6" s="54">
        <v>6</v>
      </c>
      <c r="D6" s="54">
        <v>9</v>
      </c>
      <c r="E6" s="54">
        <v>5</v>
      </c>
      <c r="F6" s="54">
        <v>6</v>
      </c>
      <c r="G6" s="54">
        <v>29</v>
      </c>
      <c r="H6" s="54">
        <v>26</v>
      </c>
      <c r="I6" s="54">
        <v>92</v>
      </c>
      <c r="J6"/>
      <c r="K6"/>
      <c r="L6"/>
      <c r="M6"/>
      <c r="N6"/>
    </row>
    <row r="7" spans="1:14" ht="15.5" x14ac:dyDescent="0.35">
      <c r="A7" s="45" t="s">
        <v>193</v>
      </c>
      <c r="B7" s="54">
        <v>17</v>
      </c>
      <c r="C7" s="54">
        <v>3</v>
      </c>
      <c r="D7" s="54">
        <v>5</v>
      </c>
      <c r="E7" s="54">
        <v>9</v>
      </c>
      <c r="F7" s="54">
        <v>8</v>
      </c>
      <c r="G7" s="54">
        <v>29</v>
      </c>
      <c r="H7" s="54">
        <v>21</v>
      </c>
      <c r="I7" s="54">
        <v>92</v>
      </c>
      <c r="J7"/>
      <c r="K7"/>
      <c r="L7"/>
      <c r="M7"/>
      <c r="N7"/>
    </row>
    <row r="8" spans="1:14" ht="15.5" x14ac:dyDescent="0.35">
      <c r="A8" s="45" t="s">
        <v>194</v>
      </c>
      <c r="B8" s="54">
        <v>10</v>
      </c>
      <c r="C8" s="54">
        <v>4</v>
      </c>
      <c r="D8" s="54">
        <v>11</v>
      </c>
      <c r="E8" s="54">
        <v>9</v>
      </c>
      <c r="F8" s="54">
        <v>7</v>
      </c>
      <c r="G8" s="54">
        <v>23</v>
      </c>
      <c r="H8" s="54">
        <v>35</v>
      </c>
      <c r="I8" s="54">
        <v>99</v>
      </c>
      <c r="J8"/>
      <c r="K8"/>
      <c r="L8"/>
      <c r="M8"/>
      <c r="N8"/>
    </row>
    <row r="9" spans="1:14" ht="15.5" x14ac:dyDescent="0.35">
      <c r="A9" s="45" t="s">
        <v>195</v>
      </c>
      <c r="B9" s="54">
        <v>7</v>
      </c>
      <c r="C9" s="54">
        <v>4</v>
      </c>
      <c r="D9" s="54">
        <v>3</v>
      </c>
      <c r="E9" s="54">
        <v>1</v>
      </c>
      <c r="F9" s="54">
        <v>8</v>
      </c>
      <c r="G9" s="54">
        <v>18</v>
      </c>
      <c r="H9" s="54">
        <v>18</v>
      </c>
      <c r="I9" s="54">
        <v>59</v>
      </c>
      <c r="J9"/>
      <c r="K9"/>
      <c r="L9"/>
      <c r="M9"/>
      <c r="N9"/>
    </row>
    <row r="10" spans="1:14" ht="15.5" x14ac:dyDescent="0.35">
      <c r="A10" s="45" t="s">
        <v>196</v>
      </c>
      <c r="B10" s="54">
        <v>4</v>
      </c>
      <c r="C10" s="54">
        <v>1</v>
      </c>
      <c r="D10" s="54">
        <v>0</v>
      </c>
      <c r="E10" s="54">
        <v>4</v>
      </c>
      <c r="F10" s="54">
        <v>6</v>
      </c>
      <c r="G10" s="54">
        <v>5</v>
      </c>
      <c r="H10" s="54">
        <v>14</v>
      </c>
      <c r="I10" s="54">
        <v>34</v>
      </c>
      <c r="J10"/>
      <c r="K10"/>
      <c r="L10"/>
      <c r="M10"/>
      <c r="N10"/>
    </row>
    <row r="11" spans="1:14" ht="15.5" x14ac:dyDescent="0.35">
      <c r="A11" s="45" t="s">
        <v>197</v>
      </c>
      <c r="B11" s="54">
        <v>2</v>
      </c>
      <c r="C11" s="54">
        <v>0</v>
      </c>
      <c r="D11" s="54">
        <v>6</v>
      </c>
      <c r="E11" s="54">
        <v>2</v>
      </c>
      <c r="F11" s="54">
        <v>2</v>
      </c>
      <c r="G11" s="54">
        <v>10</v>
      </c>
      <c r="H11" s="54">
        <v>10</v>
      </c>
      <c r="I11" s="54">
        <v>32</v>
      </c>
      <c r="J11"/>
      <c r="K11"/>
      <c r="L11"/>
      <c r="M11"/>
      <c r="N11"/>
    </row>
    <row r="12" spans="1:14" ht="15.5" x14ac:dyDescent="0.35">
      <c r="A12" s="45" t="s">
        <v>198</v>
      </c>
      <c r="B12" s="54">
        <v>1</v>
      </c>
      <c r="C12" s="54">
        <v>1</v>
      </c>
      <c r="D12" s="54">
        <v>3</v>
      </c>
      <c r="E12" s="54">
        <v>2</v>
      </c>
      <c r="F12" s="54">
        <v>2</v>
      </c>
      <c r="G12" s="54">
        <v>3</v>
      </c>
      <c r="H12" s="54">
        <v>3</v>
      </c>
      <c r="I12" s="54">
        <v>15</v>
      </c>
      <c r="J12"/>
      <c r="K12"/>
      <c r="L12"/>
      <c r="M12"/>
      <c r="N12"/>
    </row>
    <row r="13" spans="1:14" ht="15.5" x14ac:dyDescent="0.35">
      <c r="A13" s="45" t="s">
        <v>199</v>
      </c>
      <c r="B13" s="54">
        <v>2</v>
      </c>
      <c r="C13" s="54">
        <v>1</v>
      </c>
      <c r="D13" s="54">
        <v>0</v>
      </c>
      <c r="E13" s="54">
        <v>1</v>
      </c>
      <c r="F13" s="54">
        <v>2</v>
      </c>
      <c r="G13" s="54">
        <v>2</v>
      </c>
      <c r="H13" s="54">
        <v>1</v>
      </c>
      <c r="I13" s="54">
        <v>9</v>
      </c>
      <c r="J13"/>
      <c r="K13"/>
      <c r="L13"/>
      <c r="M13"/>
      <c r="N13"/>
    </row>
    <row r="14" spans="1:14" ht="15.5" x14ac:dyDescent="0.35">
      <c r="A14" s="45" t="s">
        <v>200</v>
      </c>
      <c r="B14" s="54">
        <v>2</v>
      </c>
      <c r="C14" s="54">
        <v>0</v>
      </c>
      <c r="D14" s="54">
        <v>0</v>
      </c>
      <c r="E14" s="54">
        <v>3</v>
      </c>
      <c r="F14" s="54">
        <v>1</v>
      </c>
      <c r="G14" s="54">
        <v>5</v>
      </c>
      <c r="H14" s="54">
        <v>2</v>
      </c>
      <c r="I14" s="54">
        <v>13</v>
      </c>
      <c r="J14"/>
      <c r="K14"/>
      <c r="L14"/>
      <c r="M14"/>
      <c r="N14"/>
    </row>
    <row r="15" spans="1:14" ht="15.5" x14ac:dyDescent="0.35">
      <c r="A15" s="45" t="s">
        <v>201</v>
      </c>
      <c r="B15" s="54">
        <v>1</v>
      </c>
      <c r="C15" s="54">
        <v>1</v>
      </c>
      <c r="D15" s="54">
        <v>3</v>
      </c>
      <c r="E15" s="54">
        <v>2</v>
      </c>
      <c r="F15" s="54">
        <v>1</v>
      </c>
      <c r="G15" s="54">
        <v>1</v>
      </c>
      <c r="H15" s="54">
        <v>0</v>
      </c>
      <c r="I15" s="54">
        <v>9</v>
      </c>
      <c r="J15"/>
      <c r="K15"/>
      <c r="L15"/>
      <c r="M15"/>
      <c r="N15"/>
    </row>
    <row r="16" spans="1:14" ht="15.5" x14ac:dyDescent="0.35">
      <c r="A16" s="45" t="s">
        <v>202</v>
      </c>
      <c r="B16" s="54">
        <v>3</v>
      </c>
      <c r="C16" s="54">
        <v>3</v>
      </c>
      <c r="D16" s="54">
        <v>0</v>
      </c>
      <c r="E16" s="54">
        <v>1</v>
      </c>
      <c r="F16" s="54">
        <v>4</v>
      </c>
      <c r="G16" s="54">
        <v>3</v>
      </c>
      <c r="H16" s="54">
        <v>1</v>
      </c>
      <c r="I16" s="54">
        <v>15</v>
      </c>
      <c r="J16"/>
      <c r="K16"/>
      <c r="L16"/>
      <c r="M16"/>
      <c r="N16"/>
    </row>
    <row r="17" spans="1:14" ht="15.5" x14ac:dyDescent="0.35">
      <c r="A17" s="45" t="s">
        <v>203</v>
      </c>
      <c r="B17" s="54">
        <v>2</v>
      </c>
      <c r="C17" s="54">
        <v>1</v>
      </c>
      <c r="D17" s="54">
        <v>0</v>
      </c>
      <c r="E17" s="54">
        <v>0</v>
      </c>
      <c r="F17" s="54">
        <v>2</v>
      </c>
      <c r="G17" s="54">
        <v>2</v>
      </c>
      <c r="H17" s="54">
        <v>2</v>
      </c>
      <c r="I17" s="54">
        <v>9</v>
      </c>
      <c r="J17"/>
      <c r="K17"/>
      <c r="L17"/>
      <c r="M17"/>
      <c r="N17"/>
    </row>
    <row r="18" spans="1:14" ht="15.5" x14ac:dyDescent="0.35">
      <c r="A18" s="28" t="s">
        <v>285</v>
      </c>
      <c r="B18" s="54">
        <v>71</v>
      </c>
      <c r="C18" s="54">
        <v>73</v>
      </c>
      <c r="D18" s="54">
        <v>80</v>
      </c>
      <c r="E18" s="54">
        <v>81</v>
      </c>
      <c r="F18" s="54">
        <v>131</v>
      </c>
      <c r="G18" s="54">
        <v>161</v>
      </c>
      <c r="H18" s="54">
        <v>119</v>
      </c>
      <c r="I18" s="54">
        <v>716</v>
      </c>
      <c r="J18"/>
      <c r="K18"/>
      <c r="L18"/>
      <c r="M18"/>
      <c r="N18"/>
    </row>
    <row r="19" spans="1:14" ht="15.5" x14ac:dyDescent="0.35">
      <c r="A19" s="45" t="s">
        <v>204</v>
      </c>
      <c r="B19" s="54">
        <v>1</v>
      </c>
      <c r="C19" s="54">
        <v>0</v>
      </c>
      <c r="D19" s="54">
        <v>3</v>
      </c>
      <c r="E19" s="54">
        <v>0</v>
      </c>
      <c r="F19" s="54">
        <v>2</v>
      </c>
      <c r="G19" s="54">
        <v>4</v>
      </c>
      <c r="H19" s="54">
        <v>4</v>
      </c>
      <c r="I19" s="54">
        <v>14</v>
      </c>
      <c r="J19"/>
      <c r="K19"/>
      <c r="L19"/>
      <c r="M19"/>
      <c r="N19"/>
    </row>
    <row r="20" spans="1:14" ht="15.5" x14ac:dyDescent="0.35">
      <c r="A20" s="45" t="s">
        <v>205</v>
      </c>
      <c r="B20" s="54">
        <v>0</v>
      </c>
      <c r="C20" s="54">
        <v>0</v>
      </c>
      <c r="D20" s="54">
        <v>1</v>
      </c>
      <c r="E20" s="54">
        <v>1</v>
      </c>
      <c r="F20" s="54">
        <v>1</v>
      </c>
      <c r="G20" s="54">
        <v>7</v>
      </c>
      <c r="H20" s="54">
        <v>5</v>
      </c>
      <c r="I20" s="54">
        <v>15</v>
      </c>
      <c r="J20"/>
      <c r="K20"/>
      <c r="L20"/>
      <c r="M20"/>
      <c r="N20"/>
    </row>
    <row r="21" spans="1:14" ht="15.5" x14ac:dyDescent="0.35">
      <c r="A21" s="45" t="s">
        <v>206</v>
      </c>
      <c r="B21" s="54">
        <v>6</v>
      </c>
      <c r="C21" s="54">
        <v>6</v>
      </c>
      <c r="D21" s="54">
        <v>7</v>
      </c>
      <c r="E21" s="54">
        <v>2</v>
      </c>
      <c r="F21" s="54">
        <v>3</v>
      </c>
      <c r="G21" s="54">
        <v>3</v>
      </c>
      <c r="H21" s="54">
        <v>9</v>
      </c>
      <c r="I21" s="54">
        <v>36</v>
      </c>
      <c r="J21"/>
      <c r="K21"/>
      <c r="L21"/>
      <c r="M21"/>
      <c r="N21"/>
    </row>
    <row r="22" spans="1:14" ht="15.5" x14ac:dyDescent="0.35">
      <c r="A22" s="45" t="s">
        <v>207</v>
      </c>
      <c r="B22" s="54">
        <v>3</v>
      </c>
      <c r="C22" s="54">
        <v>3</v>
      </c>
      <c r="D22" s="54">
        <v>4</v>
      </c>
      <c r="E22" s="54">
        <v>4</v>
      </c>
      <c r="F22" s="54">
        <v>6</v>
      </c>
      <c r="G22" s="54">
        <v>9</v>
      </c>
      <c r="H22" s="54">
        <v>5</v>
      </c>
      <c r="I22" s="54">
        <v>34</v>
      </c>
      <c r="J22"/>
      <c r="K22"/>
      <c r="L22"/>
      <c r="M22"/>
      <c r="N22"/>
    </row>
    <row r="23" spans="1:14" ht="15.5" x14ac:dyDescent="0.35">
      <c r="A23" s="45" t="s">
        <v>208</v>
      </c>
      <c r="B23" s="54">
        <v>7</v>
      </c>
      <c r="C23" s="54">
        <v>4</v>
      </c>
      <c r="D23" s="54">
        <v>3</v>
      </c>
      <c r="E23" s="54">
        <v>2</v>
      </c>
      <c r="F23" s="54">
        <v>6</v>
      </c>
      <c r="G23" s="54">
        <v>2</v>
      </c>
      <c r="H23" s="54">
        <v>7</v>
      </c>
      <c r="I23" s="54">
        <v>31</v>
      </c>
      <c r="J23"/>
      <c r="K23"/>
      <c r="L23"/>
      <c r="M23"/>
      <c r="N23"/>
    </row>
    <row r="24" spans="1:14" ht="15.5" x14ac:dyDescent="0.35">
      <c r="A24" s="45" t="s">
        <v>209</v>
      </c>
      <c r="B24" s="54">
        <v>5</v>
      </c>
      <c r="C24" s="54">
        <v>6</v>
      </c>
      <c r="D24" s="54">
        <v>13</v>
      </c>
      <c r="E24" s="54">
        <v>4</v>
      </c>
      <c r="F24" s="54">
        <v>4</v>
      </c>
      <c r="G24" s="54">
        <v>12</v>
      </c>
      <c r="H24" s="54">
        <v>13</v>
      </c>
      <c r="I24" s="54">
        <v>57</v>
      </c>
      <c r="J24"/>
      <c r="K24"/>
      <c r="L24"/>
      <c r="M24"/>
      <c r="N24"/>
    </row>
    <row r="25" spans="1:14" ht="15.5" x14ac:dyDescent="0.35">
      <c r="A25" s="45" t="s">
        <v>210</v>
      </c>
      <c r="B25" s="54">
        <v>4</v>
      </c>
      <c r="C25" s="54">
        <v>11</v>
      </c>
      <c r="D25" s="54">
        <v>3</v>
      </c>
      <c r="E25" s="54">
        <v>10</v>
      </c>
      <c r="F25" s="54">
        <v>11</v>
      </c>
      <c r="G25" s="54">
        <v>16</v>
      </c>
      <c r="H25" s="54">
        <v>9</v>
      </c>
      <c r="I25" s="54">
        <v>64</v>
      </c>
      <c r="J25"/>
      <c r="K25"/>
      <c r="L25"/>
      <c r="M25"/>
      <c r="N25"/>
    </row>
    <row r="26" spans="1:14" ht="15.5" x14ac:dyDescent="0.35">
      <c r="A26" s="45" t="s">
        <v>211</v>
      </c>
      <c r="B26" s="54">
        <v>9</v>
      </c>
      <c r="C26" s="54">
        <v>10</v>
      </c>
      <c r="D26" s="54">
        <v>9</v>
      </c>
      <c r="E26" s="54">
        <v>9</v>
      </c>
      <c r="F26" s="54">
        <v>20</v>
      </c>
      <c r="G26" s="54">
        <v>17</v>
      </c>
      <c r="H26" s="54">
        <v>11</v>
      </c>
      <c r="I26" s="54">
        <v>85</v>
      </c>
      <c r="J26"/>
      <c r="K26"/>
      <c r="L26"/>
      <c r="M26"/>
      <c r="N26"/>
    </row>
    <row r="27" spans="1:14" ht="15.5" x14ac:dyDescent="0.35">
      <c r="A27" s="45" t="s">
        <v>212</v>
      </c>
      <c r="B27" s="54">
        <v>7</v>
      </c>
      <c r="C27" s="54">
        <v>7</v>
      </c>
      <c r="D27" s="54">
        <v>7</v>
      </c>
      <c r="E27" s="54">
        <v>8</v>
      </c>
      <c r="F27" s="54">
        <v>14</v>
      </c>
      <c r="G27" s="54">
        <v>13</v>
      </c>
      <c r="H27" s="54">
        <v>17</v>
      </c>
      <c r="I27" s="54">
        <v>73</v>
      </c>
      <c r="J27"/>
      <c r="K27"/>
      <c r="L27"/>
      <c r="M27"/>
      <c r="N27"/>
    </row>
    <row r="28" spans="1:14" ht="15.5" x14ac:dyDescent="0.35">
      <c r="A28" s="45" t="s">
        <v>213</v>
      </c>
      <c r="B28" s="54">
        <v>9</v>
      </c>
      <c r="C28" s="54">
        <v>7</v>
      </c>
      <c r="D28" s="54">
        <v>9</v>
      </c>
      <c r="E28" s="54">
        <v>14</v>
      </c>
      <c r="F28" s="54">
        <v>15</v>
      </c>
      <c r="G28" s="54">
        <v>17</v>
      </c>
      <c r="H28" s="54">
        <v>14</v>
      </c>
      <c r="I28" s="54">
        <v>85</v>
      </c>
      <c r="J28"/>
      <c r="K28"/>
      <c r="L28"/>
      <c r="M28"/>
      <c r="N28"/>
    </row>
    <row r="29" spans="1:14" ht="15.5" x14ac:dyDescent="0.35">
      <c r="A29" s="45" t="s">
        <v>214</v>
      </c>
      <c r="B29" s="54">
        <v>8</v>
      </c>
      <c r="C29" s="54">
        <v>8</v>
      </c>
      <c r="D29" s="54">
        <v>14</v>
      </c>
      <c r="E29" s="54">
        <v>18</v>
      </c>
      <c r="F29" s="54">
        <v>25</v>
      </c>
      <c r="G29" s="54">
        <v>25</v>
      </c>
      <c r="H29" s="54">
        <v>13</v>
      </c>
      <c r="I29" s="54">
        <v>111</v>
      </c>
      <c r="J29"/>
      <c r="K29"/>
      <c r="L29"/>
      <c r="M29"/>
      <c r="N29"/>
    </row>
    <row r="30" spans="1:14" ht="15.5" x14ac:dyDescent="0.35">
      <c r="A30" s="45" t="s">
        <v>215</v>
      </c>
      <c r="B30" s="54">
        <v>12</v>
      </c>
      <c r="C30" s="54">
        <v>11</v>
      </c>
      <c r="D30" s="54">
        <v>7</v>
      </c>
      <c r="E30" s="54">
        <v>9</v>
      </c>
      <c r="F30" s="54">
        <v>24</v>
      </c>
      <c r="G30" s="54">
        <v>36</v>
      </c>
      <c r="H30" s="54">
        <v>12</v>
      </c>
      <c r="I30" s="54">
        <v>111</v>
      </c>
      <c r="J30"/>
      <c r="K30"/>
      <c r="L30"/>
      <c r="M30"/>
      <c r="N30"/>
    </row>
    <row r="31" spans="1:14" ht="15.5" x14ac:dyDescent="0.35">
      <c r="A31" s="58" t="s">
        <v>286</v>
      </c>
      <c r="B31" s="54">
        <v>3</v>
      </c>
      <c r="C31" s="54">
        <v>4</v>
      </c>
      <c r="D31" s="54">
        <v>3</v>
      </c>
      <c r="E31" s="54">
        <v>1</v>
      </c>
      <c r="F31" s="54">
        <v>4</v>
      </c>
      <c r="G31" s="54">
        <v>5</v>
      </c>
      <c r="H31" s="54">
        <v>6</v>
      </c>
      <c r="I31" s="54">
        <v>26</v>
      </c>
      <c r="J31"/>
      <c r="K31"/>
      <c r="L31"/>
      <c r="M31"/>
      <c r="N31"/>
    </row>
    <row r="32" spans="1:14" ht="15.5" x14ac:dyDescent="0.35">
      <c r="A32" s="58" t="s">
        <v>276</v>
      </c>
      <c r="B32" s="54">
        <v>136</v>
      </c>
      <c r="C32" s="54">
        <v>102</v>
      </c>
      <c r="D32" s="54">
        <v>123</v>
      </c>
      <c r="E32" s="54">
        <v>121</v>
      </c>
      <c r="F32" s="54">
        <v>184</v>
      </c>
      <c r="G32" s="54">
        <v>296</v>
      </c>
      <c r="H32" s="54">
        <v>258</v>
      </c>
      <c r="I32" s="54">
        <v>1220</v>
      </c>
      <c r="J32"/>
      <c r="K32"/>
      <c r="L32"/>
      <c r="M32"/>
      <c r="N32"/>
    </row>
    <row r="33" spans="1:14" ht="15.5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ht="15.5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15.5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15.5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15.5" x14ac:dyDescent="0.35">
      <c r="A37"/>
      <c r="B37"/>
    </row>
    <row r="38" spans="1:14" ht="15.5" x14ac:dyDescent="0.35">
      <c r="A38"/>
      <c r="B38"/>
    </row>
    <row r="39" spans="1:14" ht="15.5" x14ac:dyDescent="0.35">
      <c r="A39"/>
      <c r="B39"/>
    </row>
    <row r="40" spans="1:14" ht="15.5" x14ac:dyDescent="0.35">
      <c r="A40"/>
      <c r="B40"/>
    </row>
    <row r="41" spans="1:14" ht="15.5" x14ac:dyDescent="0.35">
      <c r="A41"/>
      <c r="B41"/>
    </row>
    <row r="42" spans="1:14" ht="15.5" x14ac:dyDescent="0.35">
      <c r="A42"/>
      <c r="B42"/>
    </row>
    <row r="43" spans="1:14" ht="15.5" x14ac:dyDescent="0.35">
      <c r="A43"/>
      <c r="B43"/>
    </row>
    <row r="44" spans="1:14" ht="15.5" x14ac:dyDescent="0.35">
      <c r="A44"/>
      <c r="B44"/>
    </row>
    <row r="45" spans="1:14" ht="15.5" x14ac:dyDescent="0.35">
      <c r="A45"/>
      <c r="B45"/>
    </row>
    <row r="46" spans="1:14" ht="15.5" x14ac:dyDescent="0.35">
      <c r="A46"/>
      <c r="B46"/>
    </row>
    <row r="47" spans="1:14" ht="15.5" x14ac:dyDescent="0.35">
      <c r="A47"/>
      <c r="B47"/>
    </row>
    <row r="48" spans="1:14" ht="15.5" x14ac:dyDescent="0.35">
      <c r="A48"/>
      <c r="B48"/>
    </row>
    <row r="49" spans="1:2" ht="15.5" x14ac:dyDescent="0.35">
      <c r="A49"/>
      <c r="B49"/>
    </row>
    <row r="50" spans="1:2" ht="15.5" x14ac:dyDescent="0.35">
      <c r="A50"/>
      <c r="B50"/>
    </row>
    <row r="51" spans="1:2" ht="15.5" x14ac:dyDescent="0.35">
      <c r="A51"/>
      <c r="B51"/>
    </row>
    <row r="52" spans="1:2" ht="15.5" x14ac:dyDescent="0.35">
      <c r="A52"/>
      <c r="B52"/>
    </row>
    <row r="53" spans="1:2" ht="15.5" x14ac:dyDescent="0.35">
      <c r="A53"/>
      <c r="B53"/>
    </row>
    <row r="54" spans="1:2" ht="15.5" x14ac:dyDescent="0.35">
      <c r="A54"/>
      <c r="B54"/>
    </row>
    <row r="55" spans="1:2" ht="15.5" x14ac:dyDescent="0.35">
      <c r="A55"/>
      <c r="B55"/>
    </row>
    <row r="56" spans="1:2" ht="15.5" x14ac:dyDescent="0.35">
      <c r="A56"/>
      <c r="B56"/>
    </row>
    <row r="57" spans="1:2" ht="15.5" x14ac:dyDescent="0.35">
      <c r="A57"/>
      <c r="B57"/>
    </row>
    <row r="58" spans="1:2" ht="15.5" x14ac:dyDescent="0.35">
      <c r="A58"/>
      <c r="B58"/>
    </row>
    <row r="59" spans="1:2" ht="15.5" x14ac:dyDescent="0.35">
      <c r="A59"/>
      <c r="B59"/>
    </row>
    <row r="60" spans="1:2" ht="15.5" x14ac:dyDescent="0.35">
      <c r="A60"/>
      <c r="B60"/>
    </row>
    <row r="61" spans="1:2" ht="15.5" x14ac:dyDescent="0.35">
      <c r="A61"/>
      <c r="B61"/>
    </row>
    <row r="62" spans="1:2" ht="15.5" x14ac:dyDescent="0.35">
      <c r="A62"/>
      <c r="B62"/>
    </row>
    <row r="63" spans="1:2" ht="15.5" x14ac:dyDescent="0.35">
      <c r="A63"/>
      <c r="B63"/>
    </row>
    <row r="64" spans="1:2" ht="15.5" x14ac:dyDescent="0.35">
      <c r="A64"/>
      <c r="B64"/>
    </row>
    <row r="65" spans="1:2" ht="15.5" x14ac:dyDescent="0.35">
      <c r="A65"/>
      <c r="B65"/>
    </row>
    <row r="66" spans="1:2" ht="15.5" x14ac:dyDescent="0.35">
      <c r="A66"/>
      <c r="B66"/>
    </row>
    <row r="67" spans="1:2" ht="15.5" x14ac:dyDescent="0.35">
      <c r="A67"/>
      <c r="B67"/>
    </row>
    <row r="68" spans="1:2" ht="15.5" x14ac:dyDescent="0.35">
      <c r="A68"/>
      <c r="B68"/>
    </row>
    <row r="69" spans="1:2" ht="15.5" x14ac:dyDescent="0.35">
      <c r="A69"/>
      <c r="B69"/>
    </row>
    <row r="70" spans="1:2" ht="15.5" x14ac:dyDescent="0.35">
      <c r="A70"/>
      <c r="B70"/>
    </row>
    <row r="71" spans="1:2" ht="15.5" x14ac:dyDescent="0.35">
      <c r="A71"/>
      <c r="B71"/>
    </row>
    <row r="72" spans="1:2" ht="15.5" x14ac:dyDescent="0.35">
      <c r="A72"/>
      <c r="B72"/>
    </row>
    <row r="73" spans="1:2" ht="15.5" x14ac:dyDescent="0.35">
      <c r="A73"/>
      <c r="B73"/>
    </row>
    <row r="74" spans="1:2" ht="15.5" x14ac:dyDescent="0.35">
      <c r="A74"/>
      <c r="B74"/>
    </row>
    <row r="75" spans="1:2" ht="15.5" x14ac:dyDescent="0.35">
      <c r="A75"/>
      <c r="B75"/>
    </row>
    <row r="76" spans="1:2" ht="15.5" x14ac:dyDescent="0.35">
      <c r="A76"/>
      <c r="B76"/>
    </row>
    <row r="77" spans="1:2" ht="15.5" x14ac:dyDescent="0.35">
      <c r="A77"/>
      <c r="B77"/>
    </row>
    <row r="78" spans="1:2" ht="15.5" x14ac:dyDescent="0.35">
      <c r="A78"/>
      <c r="B78"/>
    </row>
    <row r="79" spans="1:2" ht="15.5" x14ac:dyDescent="0.35">
      <c r="A79"/>
      <c r="B79"/>
    </row>
    <row r="80" spans="1:2" ht="15.5" x14ac:dyDescent="0.35">
      <c r="A80"/>
      <c r="B80"/>
    </row>
    <row r="81" spans="1:2" ht="15.5" x14ac:dyDescent="0.35">
      <c r="A81"/>
      <c r="B81"/>
    </row>
    <row r="82" spans="1:2" ht="15.5" x14ac:dyDescent="0.35">
      <c r="A82"/>
      <c r="B82"/>
    </row>
    <row r="83" spans="1:2" ht="15.5" x14ac:dyDescent="0.35">
      <c r="A83"/>
      <c r="B83"/>
    </row>
    <row r="84" spans="1:2" ht="15.5" x14ac:dyDescent="0.35">
      <c r="A84"/>
      <c r="B84"/>
    </row>
    <row r="85" spans="1:2" ht="15.5" x14ac:dyDescent="0.35">
      <c r="A85"/>
      <c r="B85"/>
    </row>
    <row r="86" spans="1:2" ht="15.5" x14ac:dyDescent="0.35">
      <c r="A86"/>
      <c r="B86"/>
    </row>
    <row r="87" spans="1:2" ht="15.5" x14ac:dyDescent="0.35">
      <c r="A87"/>
      <c r="B87"/>
    </row>
    <row r="88" spans="1:2" ht="15.5" x14ac:dyDescent="0.35">
      <c r="A88"/>
      <c r="B88"/>
    </row>
    <row r="89" spans="1:2" ht="15.5" x14ac:dyDescent="0.35">
      <c r="A89"/>
      <c r="B89"/>
    </row>
    <row r="90" spans="1:2" ht="15.5" x14ac:dyDescent="0.35">
      <c r="A90"/>
      <c r="B90"/>
    </row>
    <row r="91" spans="1:2" ht="15.5" x14ac:dyDescent="0.35">
      <c r="A91"/>
      <c r="B91"/>
    </row>
    <row r="92" spans="1:2" ht="15.5" x14ac:dyDescent="0.35">
      <c r="A92"/>
      <c r="B92"/>
    </row>
    <row r="93" spans="1:2" ht="15.5" x14ac:dyDescent="0.35">
      <c r="A93"/>
      <c r="B93"/>
    </row>
    <row r="94" spans="1:2" ht="15.5" x14ac:dyDescent="0.35">
      <c r="A94"/>
      <c r="B94"/>
    </row>
    <row r="95" spans="1:2" ht="15.5" x14ac:dyDescent="0.35">
      <c r="A95"/>
      <c r="B95"/>
    </row>
    <row r="96" spans="1:2" ht="15.5" x14ac:dyDescent="0.35">
      <c r="A96"/>
      <c r="B96"/>
    </row>
    <row r="97" spans="1:2" ht="15.5" x14ac:dyDescent="0.35">
      <c r="A97"/>
      <c r="B97"/>
    </row>
    <row r="98" spans="1:2" ht="15.5" x14ac:dyDescent="0.35">
      <c r="A98"/>
      <c r="B98"/>
    </row>
    <row r="99" spans="1:2" ht="15.5" x14ac:dyDescent="0.35">
      <c r="A99"/>
      <c r="B99"/>
    </row>
    <row r="100" spans="1:2" ht="15.5" x14ac:dyDescent="0.35">
      <c r="A100"/>
      <c r="B100"/>
    </row>
    <row r="101" spans="1:2" ht="15.5" x14ac:dyDescent="0.35">
      <c r="A101"/>
      <c r="B101"/>
    </row>
    <row r="102" spans="1:2" ht="15.5" x14ac:dyDescent="0.35">
      <c r="A102"/>
      <c r="B102"/>
    </row>
    <row r="103" spans="1:2" ht="15.5" x14ac:dyDescent="0.35">
      <c r="A103"/>
      <c r="B103"/>
    </row>
    <row r="104" spans="1:2" ht="15.5" x14ac:dyDescent="0.35">
      <c r="A104"/>
      <c r="B104"/>
    </row>
    <row r="105" spans="1:2" ht="15.5" x14ac:dyDescent="0.35">
      <c r="A105"/>
      <c r="B105"/>
    </row>
    <row r="106" spans="1:2" ht="15.5" x14ac:dyDescent="0.35">
      <c r="A106"/>
      <c r="B106"/>
    </row>
    <row r="107" spans="1:2" ht="15.5" x14ac:dyDescent="0.35">
      <c r="A107"/>
      <c r="B107"/>
    </row>
    <row r="108" spans="1:2" ht="15.5" x14ac:dyDescent="0.35">
      <c r="A108"/>
      <c r="B108"/>
    </row>
    <row r="109" spans="1:2" ht="15.5" x14ac:dyDescent="0.35">
      <c r="A109"/>
      <c r="B109"/>
    </row>
    <row r="110" spans="1:2" ht="15.5" x14ac:dyDescent="0.35">
      <c r="A110"/>
      <c r="B110"/>
    </row>
    <row r="111" spans="1:2" ht="15.5" x14ac:dyDescent="0.35">
      <c r="A111"/>
      <c r="B111"/>
    </row>
    <row r="112" spans="1:2" ht="15.5" x14ac:dyDescent="0.35">
      <c r="A112"/>
      <c r="B112"/>
    </row>
    <row r="113" spans="1:2" ht="15.5" x14ac:dyDescent="0.35">
      <c r="A113"/>
      <c r="B113"/>
    </row>
    <row r="114" spans="1:2" ht="15.5" x14ac:dyDescent="0.35">
      <c r="A114"/>
      <c r="B114"/>
    </row>
    <row r="115" spans="1:2" ht="15.5" x14ac:dyDescent="0.35">
      <c r="A115"/>
      <c r="B115"/>
    </row>
    <row r="116" spans="1:2" ht="15.5" x14ac:dyDescent="0.35">
      <c r="A116"/>
      <c r="B116"/>
    </row>
    <row r="117" spans="1:2" ht="15.5" x14ac:dyDescent="0.35">
      <c r="A117"/>
      <c r="B117"/>
    </row>
    <row r="118" spans="1:2" ht="15.5" x14ac:dyDescent="0.35">
      <c r="A118"/>
      <c r="B118"/>
    </row>
    <row r="119" spans="1:2" ht="15.5" x14ac:dyDescent="0.35">
      <c r="A119"/>
      <c r="B119"/>
    </row>
    <row r="120" spans="1:2" ht="15.5" x14ac:dyDescent="0.35">
      <c r="A120"/>
      <c r="B120"/>
    </row>
    <row r="121" spans="1:2" ht="15.5" x14ac:dyDescent="0.35">
      <c r="A121"/>
      <c r="B121"/>
    </row>
    <row r="122" spans="1:2" ht="15.5" x14ac:dyDescent="0.35">
      <c r="A122"/>
      <c r="B122"/>
    </row>
    <row r="123" spans="1:2" ht="15.5" x14ac:dyDescent="0.35">
      <c r="A123"/>
      <c r="B123"/>
    </row>
    <row r="124" spans="1:2" ht="15.5" x14ac:dyDescent="0.35">
      <c r="A124"/>
      <c r="B124"/>
    </row>
    <row r="125" spans="1:2" ht="15.5" x14ac:dyDescent="0.35">
      <c r="A125"/>
      <c r="B125"/>
    </row>
    <row r="126" spans="1:2" ht="15.5" x14ac:dyDescent="0.35">
      <c r="A126"/>
      <c r="B126"/>
    </row>
    <row r="127" spans="1:2" ht="15.5" x14ac:dyDescent="0.35">
      <c r="A127"/>
      <c r="B127"/>
    </row>
    <row r="128" spans="1:2" ht="15.5" x14ac:dyDescent="0.35">
      <c r="A128"/>
      <c r="B128"/>
    </row>
    <row r="129" spans="1:2" ht="15.5" x14ac:dyDescent="0.35">
      <c r="A129"/>
      <c r="B129"/>
    </row>
    <row r="130" spans="1:2" ht="15.5" x14ac:dyDescent="0.35">
      <c r="A130"/>
      <c r="B130"/>
    </row>
    <row r="131" spans="1:2" ht="15.5" x14ac:dyDescent="0.35">
      <c r="A131"/>
      <c r="B131"/>
    </row>
    <row r="132" spans="1:2" ht="15.5" x14ac:dyDescent="0.35">
      <c r="A132"/>
      <c r="B132"/>
    </row>
    <row r="133" spans="1:2" ht="15.5" x14ac:dyDescent="0.35">
      <c r="A133"/>
      <c r="B133"/>
    </row>
    <row r="134" spans="1:2" ht="15.5" x14ac:dyDescent="0.35">
      <c r="A134"/>
      <c r="B134"/>
    </row>
    <row r="135" spans="1:2" ht="15.5" x14ac:dyDescent="0.35">
      <c r="A135"/>
      <c r="B135"/>
    </row>
    <row r="136" spans="1:2" ht="15.5" x14ac:dyDescent="0.35">
      <c r="A136"/>
      <c r="B136"/>
    </row>
    <row r="137" spans="1:2" ht="15.5" x14ac:dyDescent="0.35">
      <c r="A137"/>
      <c r="B137"/>
    </row>
    <row r="138" spans="1:2" ht="15.5" x14ac:dyDescent="0.35">
      <c r="A138"/>
      <c r="B138"/>
    </row>
    <row r="139" spans="1:2" ht="15.5" x14ac:dyDescent="0.35">
      <c r="A139"/>
      <c r="B139"/>
    </row>
    <row r="140" spans="1:2" ht="15.5" x14ac:dyDescent="0.35">
      <c r="A140"/>
      <c r="B140"/>
    </row>
    <row r="141" spans="1:2" ht="15.5" x14ac:dyDescent="0.35">
      <c r="A141"/>
      <c r="B141"/>
    </row>
    <row r="142" spans="1:2" ht="15.5" x14ac:dyDescent="0.35">
      <c r="A142"/>
      <c r="B142"/>
    </row>
    <row r="143" spans="1:2" ht="15.5" x14ac:dyDescent="0.35">
      <c r="A143"/>
      <c r="B143"/>
    </row>
    <row r="144" spans="1:2" ht="15.5" x14ac:dyDescent="0.35">
      <c r="A144"/>
      <c r="B144"/>
    </row>
    <row r="145" spans="1:2" ht="15.5" x14ac:dyDescent="0.35">
      <c r="A145"/>
      <c r="B145"/>
    </row>
    <row r="146" spans="1:2" ht="15.5" x14ac:dyDescent="0.35">
      <c r="A146"/>
      <c r="B146"/>
    </row>
    <row r="147" spans="1:2" ht="15.5" x14ac:dyDescent="0.35">
      <c r="A147"/>
      <c r="B147"/>
    </row>
    <row r="148" spans="1:2" ht="15.5" x14ac:dyDescent="0.35">
      <c r="A148"/>
      <c r="B148"/>
    </row>
    <row r="149" spans="1:2" ht="15.5" x14ac:dyDescent="0.35">
      <c r="A149"/>
      <c r="B149"/>
    </row>
    <row r="150" spans="1:2" ht="15.5" x14ac:dyDescent="0.35">
      <c r="A150"/>
      <c r="B150"/>
    </row>
    <row r="151" spans="1:2" ht="15.5" x14ac:dyDescent="0.35">
      <c r="A151"/>
      <c r="B151"/>
    </row>
    <row r="152" spans="1:2" ht="15.5" x14ac:dyDescent="0.35">
      <c r="A152"/>
      <c r="B152"/>
    </row>
    <row r="153" spans="1:2" ht="15.5" x14ac:dyDescent="0.35">
      <c r="A153"/>
      <c r="B153"/>
    </row>
    <row r="154" spans="1:2" ht="15.5" x14ac:dyDescent="0.35">
      <c r="A154"/>
      <c r="B154"/>
    </row>
    <row r="155" spans="1:2" ht="15.5" x14ac:dyDescent="0.35">
      <c r="A155"/>
      <c r="B155"/>
    </row>
    <row r="156" spans="1:2" ht="15.5" x14ac:dyDescent="0.35">
      <c r="A156"/>
      <c r="B156"/>
    </row>
    <row r="157" spans="1:2" ht="15.5" x14ac:dyDescent="0.35">
      <c r="A157"/>
      <c r="B157"/>
    </row>
    <row r="158" spans="1:2" ht="15.5" x14ac:dyDescent="0.35">
      <c r="A158"/>
      <c r="B158"/>
    </row>
    <row r="159" spans="1:2" ht="15.5" x14ac:dyDescent="0.35">
      <c r="A159"/>
      <c r="B159"/>
    </row>
    <row r="160" spans="1:2" ht="15.5" x14ac:dyDescent="0.35">
      <c r="A160"/>
      <c r="B160"/>
    </row>
    <row r="161" spans="1:2" ht="15.5" x14ac:dyDescent="0.35">
      <c r="A161"/>
      <c r="B161"/>
    </row>
    <row r="162" spans="1:2" ht="15.5" x14ac:dyDescent="0.35">
      <c r="A162"/>
      <c r="B162"/>
    </row>
    <row r="163" spans="1:2" ht="15.5" x14ac:dyDescent="0.35">
      <c r="A163"/>
      <c r="B163"/>
    </row>
    <row r="164" spans="1:2" ht="15.5" x14ac:dyDescent="0.35">
      <c r="A164"/>
      <c r="B164"/>
    </row>
    <row r="165" spans="1:2" ht="15.5" x14ac:dyDescent="0.35">
      <c r="A165"/>
      <c r="B165"/>
    </row>
    <row r="166" spans="1:2" ht="15.5" x14ac:dyDescent="0.35">
      <c r="A166"/>
      <c r="B166"/>
    </row>
    <row r="167" spans="1:2" ht="15.5" x14ac:dyDescent="0.35">
      <c r="A167"/>
      <c r="B167"/>
    </row>
    <row r="168" spans="1:2" ht="15.5" x14ac:dyDescent="0.35">
      <c r="A168"/>
      <c r="B168"/>
    </row>
    <row r="169" spans="1:2" ht="15.5" x14ac:dyDescent="0.35">
      <c r="A169"/>
      <c r="B169"/>
    </row>
    <row r="170" spans="1:2" ht="15.5" x14ac:dyDescent="0.35">
      <c r="A170"/>
      <c r="B170"/>
    </row>
    <row r="171" spans="1:2" ht="15.5" x14ac:dyDescent="0.35">
      <c r="A171"/>
      <c r="B171"/>
    </row>
    <row r="172" spans="1:2" ht="15.5" x14ac:dyDescent="0.35">
      <c r="A172"/>
      <c r="B172"/>
    </row>
    <row r="173" spans="1:2" ht="15.5" x14ac:dyDescent="0.35">
      <c r="A173"/>
      <c r="B173"/>
    </row>
    <row r="174" spans="1:2" ht="15.5" x14ac:dyDescent="0.35">
      <c r="A174"/>
      <c r="B174"/>
    </row>
    <row r="175" spans="1:2" ht="15.5" x14ac:dyDescent="0.35">
      <c r="A175"/>
      <c r="B175"/>
    </row>
    <row r="176" spans="1:2" ht="15.5" x14ac:dyDescent="0.35">
      <c r="A176"/>
      <c r="B176"/>
    </row>
    <row r="177" spans="1:2" ht="15.5" x14ac:dyDescent="0.35">
      <c r="A177"/>
      <c r="B177"/>
    </row>
    <row r="178" spans="1:2" ht="15.5" x14ac:dyDescent="0.35">
      <c r="A178"/>
      <c r="B178"/>
    </row>
    <row r="179" spans="1:2" ht="15.5" x14ac:dyDescent="0.35">
      <c r="A179"/>
      <c r="B179"/>
    </row>
    <row r="180" spans="1:2" ht="15.5" x14ac:dyDescent="0.35">
      <c r="A180"/>
      <c r="B180"/>
    </row>
    <row r="181" spans="1:2" ht="15.5" x14ac:dyDescent="0.35">
      <c r="A181"/>
      <c r="B181"/>
    </row>
    <row r="182" spans="1:2" ht="15.5" x14ac:dyDescent="0.35">
      <c r="A182"/>
      <c r="B182"/>
    </row>
    <row r="183" spans="1:2" ht="15.5" x14ac:dyDescent="0.35">
      <c r="A183"/>
      <c r="B183"/>
    </row>
    <row r="184" spans="1:2" ht="15.5" x14ac:dyDescent="0.35">
      <c r="A184"/>
      <c r="B184"/>
    </row>
    <row r="185" spans="1:2" ht="15.5" x14ac:dyDescent="0.35">
      <c r="A185"/>
      <c r="B185"/>
    </row>
    <row r="186" spans="1:2" ht="15.5" x14ac:dyDescent="0.35">
      <c r="A186"/>
      <c r="B186"/>
    </row>
  </sheetData>
  <pageMargins left="0.55000000000000004" right="0.55000000000000004" top="0.55000000000000004" bottom="0.55000000000000004" header="0.3" footer="0.3"/>
  <pageSetup scale="67" fitToHeight="0"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B42C7-EDF3-4EFB-8574-847E220B3CFA}">
  <dimension ref="A1:N186"/>
  <sheetViews>
    <sheetView workbookViewId="0">
      <selection activeCell="A2" sqref="A2"/>
    </sheetView>
  </sheetViews>
  <sheetFormatPr defaultColWidth="9.1796875" defaultRowHeight="15" x14ac:dyDescent="0.3"/>
  <cols>
    <col min="1" max="1" width="26.26953125" style="1" bestFit="1" customWidth="1"/>
    <col min="2" max="2" width="10.26953125" style="4" bestFit="1" customWidth="1"/>
    <col min="3" max="3" width="11" style="4" bestFit="1" customWidth="1"/>
    <col min="4" max="4" width="14.7265625" style="4" bestFit="1" customWidth="1"/>
    <col min="5" max="5" width="12" style="4" bestFit="1" customWidth="1"/>
    <col min="6" max="6" width="8.453125" style="4" bestFit="1" customWidth="1"/>
    <col min="7" max="7" width="11.7265625" style="4" bestFit="1" customWidth="1"/>
    <col min="8" max="8" width="9.7265625" style="4" bestFit="1" customWidth="1"/>
    <col min="9" max="9" width="8.453125" style="4" bestFit="1" customWidth="1"/>
    <col min="10" max="10" width="9.1796875" style="4" bestFit="1" customWidth="1"/>
    <col min="11" max="11" width="12.26953125" style="4" bestFit="1" customWidth="1"/>
    <col min="12" max="13" width="12.26953125" style="1" bestFit="1" customWidth="1"/>
    <col min="14" max="14" width="9.1796875" style="1" bestFit="1" customWidth="1"/>
    <col min="15" max="16384" width="9.1796875" style="1"/>
  </cols>
  <sheetData>
    <row r="1" spans="1:14" ht="17.5" x14ac:dyDescent="0.3">
      <c r="A1" s="3" t="str">
        <f>Parameters!$A$109</f>
        <v>TABLE 5L ALCOHOL INVOLVED INJURY CRASHES BY DAY OF WEEK BY HOUR OF DAY - 2021</v>
      </c>
    </row>
    <row r="3" spans="1:14" ht="15.5" x14ac:dyDescent="0.35">
      <c r="A3" s="53" t="s">
        <v>16</v>
      </c>
      <c r="B3" s="30" t="s">
        <v>16</v>
      </c>
      <c r="C3" s="52"/>
      <c r="D3" s="52"/>
      <c r="E3" s="52"/>
      <c r="F3" s="52"/>
      <c r="G3" s="52"/>
      <c r="H3" s="52"/>
      <c r="I3" s="52"/>
      <c r="J3"/>
      <c r="K3"/>
      <c r="L3"/>
      <c r="M3"/>
      <c r="N3"/>
    </row>
    <row r="4" spans="1:14" ht="15.5" x14ac:dyDescent="0.35">
      <c r="A4" s="42" t="s">
        <v>283</v>
      </c>
      <c r="B4" s="57" t="s">
        <v>185</v>
      </c>
      <c r="C4" s="57" t="s">
        <v>186</v>
      </c>
      <c r="D4" s="57" t="s">
        <v>187</v>
      </c>
      <c r="E4" s="57" t="s">
        <v>188</v>
      </c>
      <c r="F4" s="57" t="s">
        <v>189</v>
      </c>
      <c r="G4" s="57" t="s">
        <v>190</v>
      </c>
      <c r="H4" s="57" t="s">
        <v>191</v>
      </c>
      <c r="I4" s="27" t="s">
        <v>276</v>
      </c>
      <c r="J4"/>
      <c r="K4"/>
      <c r="L4"/>
      <c r="M4"/>
      <c r="N4"/>
    </row>
    <row r="5" spans="1:14" ht="15.5" x14ac:dyDescent="0.35">
      <c r="A5" s="28" t="s">
        <v>284</v>
      </c>
      <c r="B5" s="46">
        <v>792</v>
      </c>
      <c r="C5" s="46">
        <v>524</v>
      </c>
      <c r="D5" s="46">
        <v>559</v>
      </c>
      <c r="E5" s="46">
        <v>635</v>
      </c>
      <c r="F5" s="46">
        <v>891</v>
      </c>
      <c r="G5" s="46">
        <v>1724</v>
      </c>
      <c r="H5" s="46">
        <v>2076</v>
      </c>
      <c r="I5" s="46">
        <v>7201</v>
      </c>
      <c r="J5"/>
      <c r="K5"/>
      <c r="L5"/>
      <c r="M5"/>
      <c r="N5"/>
    </row>
    <row r="6" spans="1:14" ht="15.5" x14ac:dyDescent="0.35">
      <c r="A6" s="45" t="s">
        <v>192</v>
      </c>
      <c r="B6" s="46">
        <v>171</v>
      </c>
      <c r="C6" s="46">
        <v>92</v>
      </c>
      <c r="D6" s="46">
        <v>121</v>
      </c>
      <c r="E6" s="46">
        <v>135</v>
      </c>
      <c r="F6" s="46">
        <v>164</v>
      </c>
      <c r="G6" s="46">
        <v>299</v>
      </c>
      <c r="H6" s="46">
        <v>386</v>
      </c>
      <c r="I6" s="46">
        <v>1368</v>
      </c>
      <c r="J6"/>
      <c r="K6"/>
      <c r="L6"/>
      <c r="M6"/>
      <c r="N6"/>
    </row>
    <row r="7" spans="1:14" ht="15.5" x14ac:dyDescent="0.35">
      <c r="A7" s="45" t="s">
        <v>193</v>
      </c>
      <c r="B7" s="46">
        <v>140</v>
      </c>
      <c r="C7" s="46">
        <v>85</v>
      </c>
      <c r="D7" s="46">
        <v>91</v>
      </c>
      <c r="E7" s="46">
        <v>105</v>
      </c>
      <c r="F7" s="46">
        <v>177</v>
      </c>
      <c r="G7" s="46">
        <v>362</v>
      </c>
      <c r="H7" s="46">
        <v>433</v>
      </c>
      <c r="I7" s="46">
        <v>1393</v>
      </c>
      <c r="J7"/>
      <c r="K7"/>
      <c r="L7"/>
      <c r="M7"/>
      <c r="N7"/>
    </row>
    <row r="8" spans="1:14" ht="15.5" x14ac:dyDescent="0.35">
      <c r="A8" s="45" t="s">
        <v>194</v>
      </c>
      <c r="B8" s="46">
        <v>128</v>
      </c>
      <c r="C8" s="46">
        <v>81</v>
      </c>
      <c r="D8" s="46">
        <v>78</v>
      </c>
      <c r="E8" s="46">
        <v>114</v>
      </c>
      <c r="F8" s="46">
        <v>148</v>
      </c>
      <c r="G8" s="46">
        <v>395</v>
      </c>
      <c r="H8" s="46">
        <v>447</v>
      </c>
      <c r="I8" s="46">
        <v>1391</v>
      </c>
      <c r="J8"/>
      <c r="K8"/>
      <c r="L8"/>
      <c r="M8"/>
      <c r="N8"/>
    </row>
    <row r="9" spans="1:14" ht="15.5" x14ac:dyDescent="0.35">
      <c r="A9" s="45" t="s">
        <v>195</v>
      </c>
      <c r="B9" s="46">
        <v>65</v>
      </c>
      <c r="C9" s="46">
        <v>46</v>
      </c>
      <c r="D9" s="46">
        <v>47</v>
      </c>
      <c r="E9" s="46">
        <v>55</v>
      </c>
      <c r="F9" s="46">
        <v>79</v>
      </c>
      <c r="G9" s="46">
        <v>195</v>
      </c>
      <c r="H9" s="46">
        <v>248</v>
      </c>
      <c r="I9" s="46">
        <v>735</v>
      </c>
      <c r="J9"/>
      <c r="K9"/>
      <c r="L9"/>
      <c r="M9"/>
      <c r="N9"/>
    </row>
    <row r="10" spans="1:14" ht="15.5" x14ac:dyDescent="0.35">
      <c r="A10" s="45" t="s">
        <v>196</v>
      </c>
      <c r="B10" s="46">
        <v>50</v>
      </c>
      <c r="C10" s="46">
        <v>31</v>
      </c>
      <c r="D10" s="46">
        <v>30</v>
      </c>
      <c r="E10" s="46">
        <v>38</v>
      </c>
      <c r="F10" s="46">
        <v>59</v>
      </c>
      <c r="G10" s="46">
        <v>135</v>
      </c>
      <c r="H10" s="46">
        <v>176</v>
      </c>
      <c r="I10" s="46">
        <v>519</v>
      </c>
      <c r="J10"/>
      <c r="K10"/>
      <c r="L10"/>
      <c r="M10"/>
      <c r="N10"/>
    </row>
    <row r="11" spans="1:14" ht="15.5" x14ac:dyDescent="0.35">
      <c r="A11" s="45" t="s">
        <v>197</v>
      </c>
      <c r="B11" s="46">
        <v>41</v>
      </c>
      <c r="C11" s="46">
        <v>24</v>
      </c>
      <c r="D11" s="46">
        <v>34</v>
      </c>
      <c r="E11" s="46">
        <v>25</v>
      </c>
      <c r="F11" s="46">
        <v>45</v>
      </c>
      <c r="G11" s="46">
        <v>74</v>
      </c>
      <c r="H11" s="46">
        <v>110</v>
      </c>
      <c r="I11" s="46">
        <v>353</v>
      </c>
      <c r="J11"/>
      <c r="K11"/>
      <c r="L11"/>
      <c r="M11"/>
      <c r="N11"/>
    </row>
    <row r="12" spans="1:14" ht="15.5" x14ac:dyDescent="0.35">
      <c r="A12" s="45" t="s">
        <v>198</v>
      </c>
      <c r="B12" s="46">
        <v>32</v>
      </c>
      <c r="C12" s="46">
        <v>23</v>
      </c>
      <c r="D12" s="46">
        <v>23</v>
      </c>
      <c r="E12" s="46">
        <v>37</v>
      </c>
      <c r="F12" s="46">
        <v>32</v>
      </c>
      <c r="G12" s="46">
        <v>51</v>
      </c>
      <c r="H12" s="46">
        <v>70</v>
      </c>
      <c r="I12" s="46">
        <v>268</v>
      </c>
      <c r="J12"/>
      <c r="K12"/>
      <c r="L12"/>
      <c r="M12"/>
      <c r="N12"/>
    </row>
    <row r="13" spans="1:14" ht="15.5" x14ac:dyDescent="0.35">
      <c r="A13" s="45" t="s">
        <v>199</v>
      </c>
      <c r="B13" s="46">
        <v>28</v>
      </c>
      <c r="C13" s="46">
        <v>27</v>
      </c>
      <c r="D13" s="46">
        <v>26</v>
      </c>
      <c r="E13" s="46">
        <v>20</v>
      </c>
      <c r="F13" s="46">
        <v>33</v>
      </c>
      <c r="G13" s="46">
        <v>31</v>
      </c>
      <c r="H13" s="46">
        <v>36</v>
      </c>
      <c r="I13" s="46">
        <v>201</v>
      </c>
      <c r="J13"/>
      <c r="K13"/>
      <c r="L13"/>
      <c r="M13"/>
      <c r="N13"/>
    </row>
    <row r="14" spans="1:14" ht="15.5" x14ac:dyDescent="0.35">
      <c r="A14" s="45" t="s">
        <v>200</v>
      </c>
      <c r="B14" s="46">
        <v>33</v>
      </c>
      <c r="C14" s="46">
        <v>41</v>
      </c>
      <c r="D14" s="46">
        <v>25</v>
      </c>
      <c r="E14" s="46">
        <v>24</v>
      </c>
      <c r="F14" s="46">
        <v>36</v>
      </c>
      <c r="G14" s="46">
        <v>39</v>
      </c>
      <c r="H14" s="46">
        <v>41</v>
      </c>
      <c r="I14" s="46">
        <v>239</v>
      </c>
      <c r="J14"/>
      <c r="K14"/>
      <c r="L14"/>
      <c r="M14"/>
      <c r="N14"/>
    </row>
    <row r="15" spans="1:14" ht="15.5" x14ac:dyDescent="0.35">
      <c r="A15" s="45" t="s">
        <v>201</v>
      </c>
      <c r="B15" s="46">
        <v>39</v>
      </c>
      <c r="C15" s="46">
        <v>18</v>
      </c>
      <c r="D15" s="46">
        <v>32</v>
      </c>
      <c r="E15" s="46">
        <v>22</v>
      </c>
      <c r="F15" s="46">
        <v>28</v>
      </c>
      <c r="G15" s="46">
        <v>33</v>
      </c>
      <c r="H15" s="46">
        <v>33</v>
      </c>
      <c r="I15" s="46">
        <v>205</v>
      </c>
      <c r="J15"/>
      <c r="K15"/>
      <c r="L15"/>
      <c r="M15"/>
      <c r="N15"/>
    </row>
    <row r="16" spans="1:14" ht="15.5" x14ac:dyDescent="0.35">
      <c r="A16" s="45" t="s">
        <v>202</v>
      </c>
      <c r="B16" s="46">
        <v>28</v>
      </c>
      <c r="C16" s="46">
        <v>25</v>
      </c>
      <c r="D16" s="46">
        <v>22</v>
      </c>
      <c r="E16" s="46">
        <v>28</v>
      </c>
      <c r="F16" s="46">
        <v>43</v>
      </c>
      <c r="G16" s="46">
        <v>49</v>
      </c>
      <c r="H16" s="46">
        <v>42</v>
      </c>
      <c r="I16" s="46">
        <v>237</v>
      </c>
      <c r="J16"/>
      <c r="K16"/>
      <c r="L16"/>
      <c r="M16"/>
      <c r="N16"/>
    </row>
    <row r="17" spans="1:14" ht="15.5" x14ac:dyDescent="0.35">
      <c r="A17" s="45" t="s">
        <v>203</v>
      </c>
      <c r="B17" s="46">
        <v>37</v>
      </c>
      <c r="C17" s="46">
        <v>31</v>
      </c>
      <c r="D17" s="46">
        <v>30</v>
      </c>
      <c r="E17" s="46">
        <v>32</v>
      </c>
      <c r="F17" s="46">
        <v>47</v>
      </c>
      <c r="G17" s="46">
        <v>61</v>
      </c>
      <c r="H17" s="46">
        <v>54</v>
      </c>
      <c r="I17" s="46">
        <v>292</v>
      </c>
      <c r="J17"/>
      <c r="K17"/>
      <c r="L17"/>
      <c r="M17"/>
      <c r="N17"/>
    </row>
    <row r="18" spans="1:14" ht="15.5" x14ac:dyDescent="0.35">
      <c r="A18" s="28" t="s">
        <v>285</v>
      </c>
      <c r="B18" s="46">
        <v>1383</v>
      </c>
      <c r="C18" s="46">
        <v>1287</v>
      </c>
      <c r="D18" s="46">
        <v>1533</v>
      </c>
      <c r="E18" s="46">
        <v>1536</v>
      </c>
      <c r="F18" s="46">
        <v>2115</v>
      </c>
      <c r="G18" s="46">
        <v>2386</v>
      </c>
      <c r="H18" s="46">
        <v>2292</v>
      </c>
      <c r="I18" s="46">
        <v>12532</v>
      </c>
      <c r="J18"/>
      <c r="K18"/>
      <c r="L18"/>
      <c r="M18"/>
      <c r="N18"/>
    </row>
    <row r="19" spans="1:14" ht="15.5" x14ac:dyDescent="0.35">
      <c r="A19" s="45" t="s">
        <v>204</v>
      </c>
      <c r="B19" s="46">
        <v>59</v>
      </c>
      <c r="C19" s="46">
        <v>40</v>
      </c>
      <c r="D19" s="46">
        <v>41</v>
      </c>
      <c r="E19" s="46">
        <v>53</v>
      </c>
      <c r="F19" s="46">
        <v>42</v>
      </c>
      <c r="G19" s="46">
        <v>54</v>
      </c>
      <c r="H19" s="46">
        <v>66</v>
      </c>
      <c r="I19" s="46">
        <v>355</v>
      </c>
      <c r="J19"/>
      <c r="K19"/>
      <c r="L19"/>
      <c r="M19"/>
      <c r="N19"/>
    </row>
    <row r="20" spans="1:14" ht="15.5" x14ac:dyDescent="0.35">
      <c r="A20" s="45" t="s">
        <v>205</v>
      </c>
      <c r="B20" s="46">
        <v>60</v>
      </c>
      <c r="C20" s="46">
        <v>58</v>
      </c>
      <c r="D20" s="46">
        <v>62</v>
      </c>
      <c r="E20" s="46">
        <v>53</v>
      </c>
      <c r="F20" s="46">
        <v>55</v>
      </c>
      <c r="G20" s="46">
        <v>82</v>
      </c>
      <c r="H20" s="46">
        <v>69</v>
      </c>
      <c r="I20" s="46">
        <v>439</v>
      </c>
      <c r="J20"/>
      <c r="K20"/>
      <c r="L20"/>
      <c r="M20"/>
      <c r="N20"/>
    </row>
    <row r="21" spans="1:14" ht="15.5" x14ac:dyDescent="0.35">
      <c r="A21" s="45" t="s">
        <v>206</v>
      </c>
      <c r="B21" s="46">
        <v>70</v>
      </c>
      <c r="C21" s="46">
        <v>61</v>
      </c>
      <c r="D21" s="46">
        <v>67</v>
      </c>
      <c r="E21" s="46">
        <v>62</v>
      </c>
      <c r="F21" s="46">
        <v>75</v>
      </c>
      <c r="G21" s="46">
        <v>98</v>
      </c>
      <c r="H21" s="46">
        <v>81</v>
      </c>
      <c r="I21" s="46">
        <v>514</v>
      </c>
      <c r="J21"/>
      <c r="K21"/>
      <c r="L21"/>
      <c r="M21"/>
      <c r="N21"/>
    </row>
    <row r="22" spans="1:14" ht="15.5" x14ac:dyDescent="0.35">
      <c r="A22" s="45" t="s">
        <v>207</v>
      </c>
      <c r="B22" s="46">
        <v>84</v>
      </c>
      <c r="C22" s="46">
        <v>80</v>
      </c>
      <c r="D22" s="46">
        <v>91</v>
      </c>
      <c r="E22" s="46">
        <v>78</v>
      </c>
      <c r="F22" s="46">
        <v>112</v>
      </c>
      <c r="G22" s="46">
        <v>121</v>
      </c>
      <c r="H22" s="46">
        <v>144</v>
      </c>
      <c r="I22" s="46">
        <v>710</v>
      </c>
      <c r="J22"/>
      <c r="K22"/>
      <c r="L22"/>
      <c r="M22"/>
      <c r="N22"/>
    </row>
    <row r="23" spans="1:14" ht="15.5" x14ac:dyDescent="0.35">
      <c r="A23" s="45" t="s">
        <v>208</v>
      </c>
      <c r="B23" s="46">
        <v>101</v>
      </c>
      <c r="C23" s="46">
        <v>69</v>
      </c>
      <c r="D23" s="46">
        <v>88</v>
      </c>
      <c r="E23" s="46">
        <v>104</v>
      </c>
      <c r="F23" s="46">
        <v>135</v>
      </c>
      <c r="G23" s="46">
        <v>143</v>
      </c>
      <c r="H23" s="46">
        <v>171</v>
      </c>
      <c r="I23" s="46">
        <v>811</v>
      </c>
      <c r="J23"/>
      <c r="K23"/>
      <c r="L23"/>
      <c r="M23"/>
      <c r="N23"/>
    </row>
    <row r="24" spans="1:14" ht="15.5" x14ac:dyDescent="0.35">
      <c r="A24" s="45" t="s">
        <v>209</v>
      </c>
      <c r="B24" s="46">
        <v>131</v>
      </c>
      <c r="C24" s="46">
        <v>131</v>
      </c>
      <c r="D24" s="46">
        <v>167</v>
      </c>
      <c r="E24" s="46">
        <v>141</v>
      </c>
      <c r="F24" s="46">
        <v>189</v>
      </c>
      <c r="G24" s="46">
        <v>176</v>
      </c>
      <c r="H24" s="46">
        <v>223</v>
      </c>
      <c r="I24" s="46">
        <v>1158</v>
      </c>
      <c r="J24"/>
      <c r="K24"/>
      <c r="L24"/>
      <c r="M24"/>
      <c r="N24"/>
    </row>
    <row r="25" spans="1:14" ht="15.5" x14ac:dyDescent="0.35">
      <c r="A25" s="45" t="s">
        <v>210</v>
      </c>
      <c r="B25" s="46">
        <v>144</v>
      </c>
      <c r="C25" s="46">
        <v>139</v>
      </c>
      <c r="D25" s="46">
        <v>167</v>
      </c>
      <c r="E25" s="46">
        <v>151</v>
      </c>
      <c r="F25" s="46">
        <v>201</v>
      </c>
      <c r="G25" s="46">
        <v>234</v>
      </c>
      <c r="H25" s="46">
        <v>230</v>
      </c>
      <c r="I25" s="46">
        <v>1266</v>
      </c>
      <c r="J25"/>
      <c r="K25"/>
      <c r="L25"/>
      <c r="M25"/>
      <c r="N25"/>
    </row>
    <row r="26" spans="1:14" ht="15.5" x14ac:dyDescent="0.35">
      <c r="A26" s="45" t="s">
        <v>211</v>
      </c>
      <c r="B26" s="46">
        <v>125</v>
      </c>
      <c r="C26" s="46">
        <v>125</v>
      </c>
      <c r="D26" s="46">
        <v>154</v>
      </c>
      <c r="E26" s="46">
        <v>154</v>
      </c>
      <c r="F26" s="46">
        <v>226</v>
      </c>
      <c r="G26" s="46">
        <v>231</v>
      </c>
      <c r="H26" s="46">
        <v>256</v>
      </c>
      <c r="I26" s="46">
        <v>1271</v>
      </c>
      <c r="J26"/>
      <c r="K26"/>
      <c r="L26"/>
      <c r="M26"/>
      <c r="N26"/>
    </row>
    <row r="27" spans="1:14" ht="15.5" x14ac:dyDescent="0.35">
      <c r="A27" s="45" t="s">
        <v>212</v>
      </c>
      <c r="B27" s="46">
        <v>159</v>
      </c>
      <c r="C27" s="46">
        <v>158</v>
      </c>
      <c r="D27" s="46">
        <v>177</v>
      </c>
      <c r="E27" s="46">
        <v>167</v>
      </c>
      <c r="F27" s="46">
        <v>233</v>
      </c>
      <c r="G27" s="46">
        <v>271</v>
      </c>
      <c r="H27" s="46">
        <v>281</v>
      </c>
      <c r="I27" s="46">
        <v>1446</v>
      </c>
      <c r="J27"/>
      <c r="K27"/>
      <c r="L27"/>
      <c r="M27"/>
      <c r="N27"/>
    </row>
    <row r="28" spans="1:14" ht="15.5" x14ac:dyDescent="0.35">
      <c r="A28" s="45" t="s">
        <v>213</v>
      </c>
      <c r="B28" s="46">
        <v>170</v>
      </c>
      <c r="C28" s="46">
        <v>148</v>
      </c>
      <c r="D28" s="46">
        <v>178</v>
      </c>
      <c r="E28" s="46">
        <v>208</v>
      </c>
      <c r="F28" s="46">
        <v>268</v>
      </c>
      <c r="G28" s="46">
        <v>294</v>
      </c>
      <c r="H28" s="46">
        <v>295</v>
      </c>
      <c r="I28" s="46">
        <v>1561</v>
      </c>
      <c r="J28"/>
      <c r="K28"/>
      <c r="L28"/>
      <c r="M28"/>
      <c r="N28"/>
    </row>
    <row r="29" spans="1:14" ht="15.5" x14ac:dyDescent="0.35">
      <c r="A29" s="45" t="s">
        <v>214</v>
      </c>
      <c r="B29" s="46">
        <v>142</v>
      </c>
      <c r="C29" s="46">
        <v>144</v>
      </c>
      <c r="D29" s="46">
        <v>179</v>
      </c>
      <c r="E29" s="46">
        <v>193</v>
      </c>
      <c r="F29" s="46">
        <v>286</v>
      </c>
      <c r="G29" s="46">
        <v>326</v>
      </c>
      <c r="H29" s="46">
        <v>231</v>
      </c>
      <c r="I29" s="46">
        <v>1501</v>
      </c>
      <c r="J29"/>
      <c r="K29"/>
      <c r="L29"/>
      <c r="M29"/>
      <c r="N29"/>
    </row>
    <row r="30" spans="1:14" ht="15.5" x14ac:dyDescent="0.35">
      <c r="A30" s="45" t="s">
        <v>215</v>
      </c>
      <c r="B30" s="46">
        <v>138</v>
      </c>
      <c r="C30" s="46">
        <v>134</v>
      </c>
      <c r="D30" s="46">
        <v>162</v>
      </c>
      <c r="E30" s="46">
        <v>172</v>
      </c>
      <c r="F30" s="46">
        <v>293</v>
      </c>
      <c r="G30" s="46">
        <v>356</v>
      </c>
      <c r="H30" s="46">
        <v>245</v>
      </c>
      <c r="I30" s="46">
        <v>1500</v>
      </c>
      <c r="J30"/>
      <c r="K30"/>
      <c r="L30"/>
      <c r="M30"/>
      <c r="N30"/>
    </row>
    <row r="31" spans="1:14" ht="15.5" x14ac:dyDescent="0.35">
      <c r="A31" s="58" t="s">
        <v>286</v>
      </c>
      <c r="B31" s="46">
        <v>4</v>
      </c>
      <c r="C31" s="46">
        <v>1</v>
      </c>
      <c r="D31" s="46">
        <v>4</v>
      </c>
      <c r="E31" s="46">
        <v>8</v>
      </c>
      <c r="F31" s="46">
        <v>8</v>
      </c>
      <c r="G31" s="46">
        <v>11</v>
      </c>
      <c r="H31" s="46">
        <v>17</v>
      </c>
      <c r="I31" s="46">
        <v>53</v>
      </c>
      <c r="J31"/>
      <c r="K31"/>
      <c r="L31"/>
      <c r="M31"/>
      <c r="N31"/>
    </row>
    <row r="32" spans="1:14" ht="15.5" x14ac:dyDescent="0.35">
      <c r="A32" s="58" t="s">
        <v>276</v>
      </c>
      <c r="B32" s="46">
        <v>2179</v>
      </c>
      <c r="C32" s="46">
        <v>1812</v>
      </c>
      <c r="D32" s="46">
        <v>2096</v>
      </c>
      <c r="E32" s="46">
        <v>2179</v>
      </c>
      <c r="F32" s="46">
        <v>3014</v>
      </c>
      <c r="G32" s="46">
        <v>4121</v>
      </c>
      <c r="H32" s="46">
        <v>4385</v>
      </c>
      <c r="I32" s="46">
        <v>19786</v>
      </c>
      <c r="J32" s="29"/>
      <c r="K32"/>
      <c r="L32"/>
      <c r="M32"/>
      <c r="N32"/>
    </row>
    <row r="33" spans="1:14" ht="15.5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ht="15.5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15.5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15.5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15.5" x14ac:dyDescent="0.35">
      <c r="A37"/>
      <c r="B37"/>
    </row>
    <row r="38" spans="1:14" ht="15.5" x14ac:dyDescent="0.35">
      <c r="A38"/>
      <c r="B38"/>
    </row>
    <row r="39" spans="1:14" ht="15.5" x14ac:dyDescent="0.35">
      <c r="A39"/>
      <c r="B39"/>
    </row>
    <row r="40" spans="1:14" ht="15.5" x14ac:dyDescent="0.35">
      <c r="A40"/>
      <c r="B40"/>
    </row>
    <row r="41" spans="1:14" ht="15.5" x14ac:dyDescent="0.35">
      <c r="A41"/>
      <c r="B41"/>
    </row>
    <row r="42" spans="1:14" ht="15.5" x14ac:dyDescent="0.35">
      <c r="A42"/>
      <c r="B42"/>
    </row>
    <row r="43" spans="1:14" ht="15.5" x14ac:dyDescent="0.35">
      <c r="A43"/>
      <c r="B43"/>
    </row>
    <row r="44" spans="1:14" ht="15.5" x14ac:dyDescent="0.35">
      <c r="A44"/>
      <c r="B44"/>
    </row>
    <row r="45" spans="1:14" ht="15.5" x14ac:dyDescent="0.35">
      <c r="A45"/>
      <c r="B45"/>
    </row>
    <row r="46" spans="1:14" ht="15.5" x14ac:dyDescent="0.35">
      <c r="A46"/>
      <c r="B46"/>
    </row>
    <row r="47" spans="1:14" ht="15.5" x14ac:dyDescent="0.35">
      <c r="A47"/>
      <c r="B47"/>
    </row>
    <row r="48" spans="1:14" ht="15.5" x14ac:dyDescent="0.35">
      <c r="A48"/>
      <c r="B48"/>
    </row>
    <row r="49" spans="1:2" ht="15.5" x14ac:dyDescent="0.35">
      <c r="A49"/>
      <c r="B49"/>
    </row>
    <row r="50" spans="1:2" ht="15.5" x14ac:dyDescent="0.35">
      <c r="A50"/>
      <c r="B50"/>
    </row>
    <row r="51" spans="1:2" ht="15.5" x14ac:dyDescent="0.35">
      <c r="A51"/>
      <c r="B51"/>
    </row>
    <row r="52" spans="1:2" ht="15.5" x14ac:dyDescent="0.35">
      <c r="A52"/>
      <c r="B52"/>
    </row>
    <row r="53" spans="1:2" ht="15.5" x14ac:dyDescent="0.35">
      <c r="A53"/>
      <c r="B53"/>
    </row>
    <row r="54" spans="1:2" ht="15.5" x14ac:dyDescent="0.35">
      <c r="A54"/>
      <c r="B54"/>
    </row>
    <row r="55" spans="1:2" ht="15.5" x14ac:dyDescent="0.35">
      <c r="A55"/>
      <c r="B55"/>
    </row>
    <row r="56" spans="1:2" ht="15.5" x14ac:dyDescent="0.35">
      <c r="A56"/>
      <c r="B56"/>
    </row>
    <row r="57" spans="1:2" ht="15.5" x14ac:dyDescent="0.35">
      <c r="A57"/>
      <c r="B57"/>
    </row>
    <row r="58" spans="1:2" ht="15.5" x14ac:dyDescent="0.35">
      <c r="A58"/>
      <c r="B58"/>
    </row>
    <row r="59" spans="1:2" ht="15.5" x14ac:dyDescent="0.35">
      <c r="A59"/>
      <c r="B59"/>
    </row>
    <row r="60" spans="1:2" ht="15.5" x14ac:dyDescent="0.35">
      <c r="A60"/>
      <c r="B60"/>
    </row>
    <row r="61" spans="1:2" ht="15.5" x14ac:dyDescent="0.35">
      <c r="A61"/>
      <c r="B61"/>
    </row>
    <row r="62" spans="1:2" ht="15.5" x14ac:dyDescent="0.35">
      <c r="A62"/>
      <c r="B62"/>
    </row>
    <row r="63" spans="1:2" ht="15.5" x14ac:dyDescent="0.35">
      <c r="A63"/>
      <c r="B63"/>
    </row>
    <row r="64" spans="1:2" ht="15.5" x14ac:dyDescent="0.35">
      <c r="A64"/>
      <c r="B64"/>
    </row>
    <row r="65" spans="1:2" ht="15.5" x14ac:dyDescent="0.35">
      <c r="A65"/>
      <c r="B65"/>
    </row>
    <row r="66" spans="1:2" ht="15.5" x14ac:dyDescent="0.35">
      <c r="A66"/>
      <c r="B66"/>
    </row>
    <row r="67" spans="1:2" ht="15.5" x14ac:dyDescent="0.35">
      <c r="A67"/>
      <c r="B67"/>
    </row>
    <row r="68" spans="1:2" ht="15.5" x14ac:dyDescent="0.35">
      <c r="A68"/>
      <c r="B68"/>
    </row>
    <row r="69" spans="1:2" ht="15.5" x14ac:dyDescent="0.35">
      <c r="A69"/>
      <c r="B69"/>
    </row>
    <row r="70" spans="1:2" ht="15.5" x14ac:dyDescent="0.35">
      <c r="A70"/>
      <c r="B70"/>
    </row>
    <row r="71" spans="1:2" ht="15.5" x14ac:dyDescent="0.35">
      <c r="A71"/>
      <c r="B71"/>
    </row>
    <row r="72" spans="1:2" ht="15.5" x14ac:dyDescent="0.35">
      <c r="A72"/>
      <c r="B72"/>
    </row>
    <row r="73" spans="1:2" ht="15.5" x14ac:dyDescent="0.35">
      <c r="A73"/>
      <c r="B73"/>
    </row>
    <row r="74" spans="1:2" ht="15.5" x14ac:dyDescent="0.35">
      <c r="A74"/>
      <c r="B74"/>
    </row>
    <row r="75" spans="1:2" ht="15.5" x14ac:dyDescent="0.35">
      <c r="A75"/>
      <c r="B75"/>
    </row>
    <row r="76" spans="1:2" ht="15.5" x14ac:dyDescent="0.35">
      <c r="A76"/>
      <c r="B76"/>
    </row>
    <row r="77" spans="1:2" ht="15.5" x14ac:dyDescent="0.35">
      <c r="A77"/>
      <c r="B77"/>
    </row>
    <row r="78" spans="1:2" ht="15.5" x14ac:dyDescent="0.35">
      <c r="A78"/>
      <c r="B78"/>
    </row>
    <row r="79" spans="1:2" ht="15.5" x14ac:dyDescent="0.35">
      <c r="A79"/>
      <c r="B79"/>
    </row>
    <row r="80" spans="1:2" ht="15.5" x14ac:dyDescent="0.35">
      <c r="A80"/>
      <c r="B80"/>
    </row>
    <row r="81" spans="1:2" ht="15.5" x14ac:dyDescent="0.35">
      <c r="A81"/>
      <c r="B81"/>
    </row>
    <row r="82" spans="1:2" ht="15.5" x14ac:dyDescent="0.35">
      <c r="A82"/>
      <c r="B82"/>
    </row>
    <row r="83" spans="1:2" ht="15.5" x14ac:dyDescent="0.35">
      <c r="A83"/>
      <c r="B83"/>
    </row>
    <row r="84" spans="1:2" ht="15.5" x14ac:dyDescent="0.35">
      <c r="A84"/>
      <c r="B84"/>
    </row>
    <row r="85" spans="1:2" ht="15.5" x14ac:dyDescent="0.35">
      <c r="A85"/>
      <c r="B85"/>
    </row>
    <row r="86" spans="1:2" ht="15.5" x14ac:dyDescent="0.35">
      <c r="A86"/>
      <c r="B86"/>
    </row>
    <row r="87" spans="1:2" ht="15.5" x14ac:dyDescent="0.35">
      <c r="A87"/>
      <c r="B87"/>
    </row>
    <row r="88" spans="1:2" ht="15.5" x14ac:dyDescent="0.35">
      <c r="A88"/>
      <c r="B88"/>
    </row>
    <row r="89" spans="1:2" ht="15.5" x14ac:dyDescent="0.35">
      <c r="A89"/>
      <c r="B89"/>
    </row>
    <row r="90" spans="1:2" ht="15.5" x14ac:dyDescent="0.35">
      <c r="A90"/>
      <c r="B90"/>
    </row>
    <row r="91" spans="1:2" ht="15.5" x14ac:dyDescent="0.35">
      <c r="A91"/>
      <c r="B91"/>
    </row>
    <row r="92" spans="1:2" ht="15.5" x14ac:dyDescent="0.35">
      <c r="A92"/>
      <c r="B92"/>
    </row>
    <row r="93" spans="1:2" ht="15.5" x14ac:dyDescent="0.35">
      <c r="A93"/>
      <c r="B93"/>
    </row>
    <row r="94" spans="1:2" ht="15.5" x14ac:dyDescent="0.35">
      <c r="A94"/>
      <c r="B94"/>
    </row>
    <row r="95" spans="1:2" ht="15.5" x14ac:dyDescent="0.35">
      <c r="A95"/>
      <c r="B95"/>
    </row>
    <row r="96" spans="1:2" ht="15.5" x14ac:dyDescent="0.35">
      <c r="A96"/>
      <c r="B96"/>
    </row>
    <row r="97" spans="1:2" ht="15.5" x14ac:dyDescent="0.35">
      <c r="A97"/>
      <c r="B97"/>
    </row>
    <row r="98" spans="1:2" ht="15.5" x14ac:dyDescent="0.35">
      <c r="A98"/>
      <c r="B98"/>
    </row>
    <row r="99" spans="1:2" ht="15.5" x14ac:dyDescent="0.35">
      <c r="A99"/>
      <c r="B99"/>
    </row>
    <row r="100" spans="1:2" ht="15.5" x14ac:dyDescent="0.35">
      <c r="A100"/>
      <c r="B100"/>
    </row>
    <row r="101" spans="1:2" ht="15.5" x14ac:dyDescent="0.35">
      <c r="A101"/>
      <c r="B101"/>
    </row>
    <row r="102" spans="1:2" ht="15.5" x14ac:dyDescent="0.35">
      <c r="A102"/>
      <c r="B102"/>
    </row>
    <row r="103" spans="1:2" ht="15.5" x14ac:dyDescent="0.35">
      <c r="A103"/>
      <c r="B103"/>
    </row>
    <row r="104" spans="1:2" ht="15.5" x14ac:dyDescent="0.35">
      <c r="A104"/>
      <c r="B104"/>
    </row>
    <row r="105" spans="1:2" ht="15.5" x14ac:dyDescent="0.35">
      <c r="A105"/>
      <c r="B105"/>
    </row>
    <row r="106" spans="1:2" ht="15.5" x14ac:dyDescent="0.35">
      <c r="A106"/>
      <c r="B106"/>
    </row>
    <row r="107" spans="1:2" ht="15.5" x14ac:dyDescent="0.35">
      <c r="A107"/>
      <c r="B107"/>
    </row>
    <row r="108" spans="1:2" ht="15.5" x14ac:dyDescent="0.35">
      <c r="A108"/>
      <c r="B108"/>
    </row>
    <row r="109" spans="1:2" ht="15.5" x14ac:dyDescent="0.35">
      <c r="A109"/>
      <c r="B109"/>
    </row>
    <row r="110" spans="1:2" ht="15.5" x14ac:dyDescent="0.35">
      <c r="A110"/>
      <c r="B110"/>
    </row>
    <row r="111" spans="1:2" ht="15.5" x14ac:dyDescent="0.35">
      <c r="A111"/>
      <c r="B111"/>
    </row>
    <row r="112" spans="1:2" ht="15.5" x14ac:dyDescent="0.35">
      <c r="A112"/>
      <c r="B112"/>
    </row>
    <row r="113" spans="1:2" ht="15.5" x14ac:dyDescent="0.35">
      <c r="A113"/>
      <c r="B113"/>
    </row>
    <row r="114" spans="1:2" ht="15.5" x14ac:dyDescent="0.35">
      <c r="A114"/>
      <c r="B114"/>
    </row>
    <row r="115" spans="1:2" ht="15.5" x14ac:dyDescent="0.35">
      <c r="A115"/>
      <c r="B115"/>
    </row>
    <row r="116" spans="1:2" ht="15.5" x14ac:dyDescent="0.35">
      <c r="A116"/>
      <c r="B116"/>
    </row>
    <row r="117" spans="1:2" ht="15.5" x14ac:dyDescent="0.35">
      <c r="A117"/>
      <c r="B117"/>
    </row>
    <row r="118" spans="1:2" ht="15.5" x14ac:dyDescent="0.35">
      <c r="A118"/>
      <c r="B118"/>
    </row>
    <row r="119" spans="1:2" ht="15.5" x14ac:dyDescent="0.35">
      <c r="A119"/>
      <c r="B119"/>
    </row>
    <row r="120" spans="1:2" ht="15.5" x14ac:dyDescent="0.35">
      <c r="A120"/>
      <c r="B120"/>
    </row>
    <row r="121" spans="1:2" ht="15.5" x14ac:dyDescent="0.35">
      <c r="A121"/>
      <c r="B121"/>
    </row>
    <row r="122" spans="1:2" ht="15.5" x14ac:dyDescent="0.35">
      <c r="A122"/>
      <c r="B122"/>
    </row>
    <row r="123" spans="1:2" ht="15.5" x14ac:dyDescent="0.35">
      <c r="A123"/>
      <c r="B123"/>
    </row>
    <row r="124" spans="1:2" ht="15.5" x14ac:dyDescent="0.35">
      <c r="A124"/>
      <c r="B124"/>
    </row>
    <row r="125" spans="1:2" ht="15.5" x14ac:dyDescent="0.35">
      <c r="A125"/>
      <c r="B125"/>
    </row>
    <row r="126" spans="1:2" ht="15.5" x14ac:dyDescent="0.35">
      <c r="A126"/>
      <c r="B126"/>
    </row>
    <row r="127" spans="1:2" ht="15.5" x14ac:dyDescent="0.35">
      <c r="A127"/>
      <c r="B127"/>
    </row>
    <row r="128" spans="1:2" ht="15.5" x14ac:dyDescent="0.35">
      <c r="A128"/>
      <c r="B128"/>
    </row>
    <row r="129" spans="1:2" ht="15.5" x14ac:dyDescent="0.35">
      <c r="A129"/>
      <c r="B129"/>
    </row>
    <row r="130" spans="1:2" ht="15.5" x14ac:dyDescent="0.35">
      <c r="A130"/>
      <c r="B130"/>
    </row>
    <row r="131" spans="1:2" ht="15.5" x14ac:dyDescent="0.35">
      <c r="A131"/>
      <c r="B131"/>
    </row>
    <row r="132" spans="1:2" ht="15.5" x14ac:dyDescent="0.35">
      <c r="A132"/>
      <c r="B132"/>
    </row>
    <row r="133" spans="1:2" ht="15.5" x14ac:dyDescent="0.35">
      <c r="A133"/>
      <c r="B133"/>
    </row>
    <row r="134" spans="1:2" ht="15.5" x14ac:dyDescent="0.35">
      <c r="A134"/>
      <c r="B134"/>
    </row>
    <row r="135" spans="1:2" ht="15.5" x14ac:dyDescent="0.35">
      <c r="A135"/>
      <c r="B135"/>
    </row>
    <row r="136" spans="1:2" ht="15.5" x14ac:dyDescent="0.35">
      <c r="A136"/>
      <c r="B136"/>
    </row>
    <row r="137" spans="1:2" ht="15.5" x14ac:dyDescent="0.35">
      <c r="A137"/>
      <c r="B137"/>
    </row>
    <row r="138" spans="1:2" ht="15.5" x14ac:dyDescent="0.35">
      <c r="A138"/>
      <c r="B138"/>
    </row>
    <row r="139" spans="1:2" ht="15.5" x14ac:dyDescent="0.35">
      <c r="A139"/>
      <c r="B139"/>
    </row>
    <row r="140" spans="1:2" ht="15.5" x14ac:dyDescent="0.35">
      <c r="A140"/>
      <c r="B140"/>
    </row>
    <row r="141" spans="1:2" ht="15.5" x14ac:dyDescent="0.35">
      <c r="A141"/>
      <c r="B141"/>
    </row>
    <row r="142" spans="1:2" ht="15.5" x14ac:dyDescent="0.35">
      <c r="A142"/>
      <c r="B142"/>
    </row>
    <row r="143" spans="1:2" ht="15.5" x14ac:dyDescent="0.35">
      <c r="A143"/>
      <c r="B143"/>
    </row>
    <row r="144" spans="1:2" ht="15.5" x14ac:dyDescent="0.35">
      <c r="A144"/>
      <c r="B144"/>
    </row>
    <row r="145" spans="1:2" ht="15.5" x14ac:dyDescent="0.35">
      <c r="A145"/>
      <c r="B145"/>
    </row>
    <row r="146" spans="1:2" ht="15.5" x14ac:dyDescent="0.35">
      <c r="A146"/>
      <c r="B146"/>
    </row>
    <row r="147" spans="1:2" ht="15.5" x14ac:dyDescent="0.35">
      <c r="A147"/>
      <c r="B147"/>
    </row>
    <row r="148" spans="1:2" ht="15.5" x14ac:dyDescent="0.35">
      <c r="A148"/>
      <c r="B148"/>
    </row>
    <row r="149" spans="1:2" ht="15.5" x14ac:dyDescent="0.35">
      <c r="A149"/>
      <c r="B149"/>
    </row>
    <row r="150" spans="1:2" ht="15.5" x14ac:dyDescent="0.35">
      <c r="A150"/>
      <c r="B150"/>
    </row>
    <row r="151" spans="1:2" ht="15.5" x14ac:dyDescent="0.35">
      <c r="A151"/>
      <c r="B151"/>
    </row>
    <row r="152" spans="1:2" ht="15.5" x14ac:dyDescent="0.35">
      <c r="A152"/>
      <c r="B152"/>
    </row>
    <row r="153" spans="1:2" ht="15.5" x14ac:dyDescent="0.35">
      <c r="A153"/>
      <c r="B153"/>
    </row>
    <row r="154" spans="1:2" ht="15.5" x14ac:dyDescent="0.35">
      <c r="A154"/>
      <c r="B154"/>
    </row>
    <row r="155" spans="1:2" ht="15.5" x14ac:dyDescent="0.35">
      <c r="A155"/>
      <c r="B155"/>
    </row>
    <row r="156" spans="1:2" ht="15.5" x14ac:dyDescent="0.35">
      <c r="A156"/>
      <c r="B156"/>
    </row>
    <row r="157" spans="1:2" ht="15.5" x14ac:dyDescent="0.35">
      <c r="A157"/>
      <c r="B157"/>
    </row>
    <row r="158" spans="1:2" ht="15.5" x14ac:dyDescent="0.35">
      <c r="A158"/>
      <c r="B158"/>
    </row>
    <row r="159" spans="1:2" ht="15.5" x14ac:dyDescent="0.35">
      <c r="A159"/>
      <c r="B159"/>
    </row>
    <row r="160" spans="1:2" ht="15.5" x14ac:dyDescent="0.35">
      <c r="A160"/>
      <c r="B160"/>
    </row>
    <row r="161" spans="1:2" ht="15.5" x14ac:dyDescent="0.35">
      <c r="A161"/>
      <c r="B161"/>
    </row>
    <row r="162" spans="1:2" ht="15.5" x14ac:dyDescent="0.35">
      <c r="A162"/>
      <c r="B162"/>
    </row>
    <row r="163" spans="1:2" ht="15.5" x14ac:dyDescent="0.35">
      <c r="A163"/>
      <c r="B163"/>
    </row>
    <row r="164" spans="1:2" ht="15.5" x14ac:dyDescent="0.35">
      <c r="A164"/>
      <c r="B164"/>
    </row>
    <row r="165" spans="1:2" ht="15.5" x14ac:dyDescent="0.35">
      <c r="A165"/>
      <c r="B165"/>
    </row>
    <row r="166" spans="1:2" ht="15.5" x14ac:dyDescent="0.35">
      <c r="A166"/>
      <c r="B166"/>
    </row>
    <row r="167" spans="1:2" ht="15.5" x14ac:dyDescent="0.35">
      <c r="A167"/>
      <c r="B167"/>
    </row>
    <row r="168" spans="1:2" ht="15.5" x14ac:dyDescent="0.35">
      <c r="A168"/>
      <c r="B168"/>
    </row>
    <row r="169" spans="1:2" ht="15.5" x14ac:dyDescent="0.35">
      <c r="A169"/>
      <c r="B169"/>
    </row>
    <row r="170" spans="1:2" ht="15.5" x14ac:dyDescent="0.35">
      <c r="A170"/>
      <c r="B170"/>
    </row>
    <row r="171" spans="1:2" ht="15.5" x14ac:dyDescent="0.35">
      <c r="A171"/>
      <c r="B171"/>
    </row>
    <row r="172" spans="1:2" ht="15.5" x14ac:dyDescent="0.35">
      <c r="A172"/>
      <c r="B172"/>
    </row>
    <row r="173" spans="1:2" ht="15.5" x14ac:dyDescent="0.35">
      <c r="A173"/>
      <c r="B173"/>
    </row>
    <row r="174" spans="1:2" ht="15.5" x14ac:dyDescent="0.35">
      <c r="A174"/>
      <c r="B174"/>
    </row>
    <row r="175" spans="1:2" ht="15.5" x14ac:dyDescent="0.35">
      <c r="A175"/>
      <c r="B175"/>
    </row>
    <row r="176" spans="1:2" ht="15.5" x14ac:dyDescent="0.35">
      <c r="A176"/>
      <c r="B176"/>
    </row>
    <row r="177" spans="1:2" ht="15.5" x14ac:dyDescent="0.35">
      <c r="A177"/>
      <c r="B177"/>
    </row>
    <row r="178" spans="1:2" ht="15.5" x14ac:dyDescent="0.35">
      <c r="A178"/>
      <c r="B178"/>
    </row>
    <row r="179" spans="1:2" ht="15.5" x14ac:dyDescent="0.35">
      <c r="A179"/>
      <c r="B179"/>
    </row>
    <row r="180" spans="1:2" ht="15.5" x14ac:dyDescent="0.35">
      <c r="A180"/>
      <c r="B180"/>
    </row>
    <row r="181" spans="1:2" ht="15.5" x14ac:dyDescent="0.35">
      <c r="A181"/>
      <c r="B181"/>
    </row>
    <row r="182" spans="1:2" ht="15.5" x14ac:dyDescent="0.35">
      <c r="A182"/>
      <c r="B182"/>
    </row>
    <row r="183" spans="1:2" ht="15.5" x14ac:dyDescent="0.35">
      <c r="A183"/>
      <c r="B183"/>
    </row>
    <row r="184" spans="1:2" ht="15.5" x14ac:dyDescent="0.35">
      <c r="A184"/>
      <c r="B184"/>
    </row>
    <row r="185" spans="1:2" ht="15.5" x14ac:dyDescent="0.35">
      <c r="A185"/>
      <c r="B185"/>
    </row>
    <row r="186" spans="1:2" ht="15.5" x14ac:dyDescent="0.35">
      <c r="A186"/>
      <c r="B186"/>
    </row>
  </sheetData>
  <pageMargins left="0.55000000000000004" right="0.55000000000000004" top="0.55000000000000004" bottom="0.55000000000000004" header="0.3" footer="0.3"/>
  <pageSetup scale="67" fitToHeight="0"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13E0C-4013-441D-819A-167A1B72A6D6}">
  <sheetPr>
    <pageSetUpPr fitToPage="1"/>
  </sheetPr>
  <dimension ref="A1:N186"/>
  <sheetViews>
    <sheetView workbookViewId="0">
      <selection activeCell="A2" sqref="A2"/>
    </sheetView>
  </sheetViews>
  <sheetFormatPr defaultColWidth="9.1796875" defaultRowHeight="15" x14ac:dyDescent="0.3"/>
  <cols>
    <col min="1" max="1" width="17.81640625" style="1" bestFit="1" customWidth="1"/>
    <col min="2" max="2" width="10.453125" style="4" bestFit="1" customWidth="1"/>
    <col min="3" max="3" width="11.54296875" style="4" bestFit="1" customWidth="1"/>
    <col min="4" max="4" width="8.26953125" style="4" bestFit="1" customWidth="1"/>
    <col min="5" max="5" width="6.81640625" style="4" bestFit="1" customWidth="1"/>
    <col min="6" max="6" width="6" style="4" bestFit="1" customWidth="1"/>
    <col min="7" max="7" width="6.7265625" style="4" bestFit="1" customWidth="1"/>
    <col min="8" max="8" width="5.81640625" style="4" bestFit="1" customWidth="1"/>
    <col min="9" max="9" width="9.453125" style="4" bestFit="1" customWidth="1"/>
    <col min="10" max="10" width="14.1796875" style="4" bestFit="1" customWidth="1"/>
    <col min="11" max="11" width="10.453125" style="4" bestFit="1" customWidth="1"/>
    <col min="12" max="12" width="13.1796875" style="1" bestFit="1" customWidth="1"/>
    <col min="13" max="13" width="13" style="1" bestFit="1" customWidth="1"/>
    <col min="14" max="14" width="7.453125" style="1" bestFit="1" customWidth="1"/>
    <col min="15" max="16384" width="9.1796875" style="1"/>
  </cols>
  <sheetData>
    <row r="1" spans="1:14" ht="17.5" x14ac:dyDescent="0.3">
      <c r="A1" s="3" t="str">
        <f>Parameters!$A$123</f>
        <v>TABLE 5M ALCOHOL INVOLVED FATAL CRASHES BY COUNTY BY MONTH - 2021</v>
      </c>
    </row>
    <row r="3" spans="1:14" ht="15.75" customHeight="1" x14ac:dyDescent="0.3">
      <c r="A3" s="53" t="s">
        <v>16</v>
      </c>
      <c r="B3" s="30" t="s">
        <v>16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ht="15.75" customHeight="1" x14ac:dyDescent="0.3">
      <c r="A4" s="56" t="s">
        <v>277</v>
      </c>
      <c r="B4" s="57" t="s">
        <v>4</v>
      </c>
      <c r="C4" s="57" t="s">
        <v>5</v>
      </c>
      <c r="D4" s="57" t="s">
        <v>6</v>
      </c>
      <c r="E4" s="57" t="s">
        <v>7</v>
      </c>
      <c r="F4" s="57" t="s">
        <v>8</v>
      </c>
      <c r="G4" s="57" t="s">
        <v>9</v>
      </c>
      <c r="H4" s="57" t="s">
        <v>10</v>
      </c>
      <c r="I4" s="57" t="s">
        <v>11</v>
      </c>
      <c r="J4" s="57" t="s">
        <v>12</v>
      </c>
      <c r="K4" s="57" t="s">
        <v>13</v>
      </c>
      <c r="L4" s="57" t="s">
        <v>14</v>
      </c>
      <c r="M4" s="57" t="s">
        <v>15</v>
      </c>
      <c r="N4" s="27" t="s">
        <v>276</v>
      </c>
    </row>
    <row r="5" spans="1:14" ht="15.75" customHeight="1" x14ac:dyDescent="0.3">
      <c r="A5" s="45" t="s">
        <v>21</v>
      </c>
      <c r="B5" s="46">
        <v>0</v>
      </c>
      <c r="C5" s="46">
        <v>5</v>
      </c>
      <c r="D5" s="46">
        <v>3</v>
      </c>
      <c r="E5" s="46">
        <v>4</v>
      </c>
      <c r="F5" s="46">
        <v>6</v>
      </c>
      <c r="G5" s="46">
        <v>2</v>
      </c>
      <c r="H5" s="46">
        <v>1</v>
      </c>
      <c r="I5" s="46">
        <v>3</v>
      </c>
      <c r="J5" s="46">
        <v>3</v>
      </c>
      <c r="K5" s="46">
        <v>2</v>
      </c>
      <c r="L5" s="46">
        <v>3</v>
      </c>
      <c r="M5" s="46">
        <v>1</v>
      </c>
      <c r="N5" s="46">
        <v>33</v>
      </c>
    </row>
    <row r="6" spans="1:14" ht="15.75" customHeight="1" x14ac:dyDescent="0.3">
      <c r="A6" s="45" t="s">
        <v>23</v>
      </c>
      <c r="B6" s="46">
        <v>1</v>
      </c>
      <c r="C6" s="46">
        <v>1</v>
      </c>
      <c r="D6" s="46">
        <v>2</v>
      </c>
      <c r="E6" s="46">
        <v>0</v>
      </c>
      <c r="F6" s="46">
        <v>0</v>
      </c>
      <c r="G6" s="46">
        <v>1</v>
      </c>
      <c r="H6" s="46">
        <v>0</v>
      </c>
      <c r="I6" s="46">
        <v>0</v>
      </c>
      <c r="J6" s="46">
        <v>0</v>
      </c>
      <c r="K6" s="46">
        <v>1</v>
      </c>
      <c r="L6" s="46">
        <v>2</v>
      </c>
      <c r="M6" s="46">
        <v>0</v>
      </c>
      <c r="N6" s="46">
        <v>8</v>
      </c>
    </row>
    <row r="7" spans="1:14" ht="15.75" customHeight="1" x14ac:dyDescent="0.3">
      <c r="A7" s="45" t="s">
        <v>24</v>
      </c>
      <c r="B7" s="46">
        <v>2</v>
      </c>
      <c r="C7" s="46">
        <v>2</v>
      </c>
      <c r="D7" s="46">
        <v>1</v>
      </c>
      <c r="E7" s="46">
        <v>1</v>
      </c>
      <c r="F7" s="46">
        <v>3</v>
      </c>
      <c r="G7" s="46">
        <v>1</v>
      </c>
      <c r="H7" s="46">
        <v>1</v>
      </c>
      <c r="I7" s="46">
        <v>2</v>
      </c>
      <c r="J7" s="46">
        <v>0</v>
      </c>
      <c r="K7" s="46">
        <v>0</v>
      </c>
      <c r="L7" s="46">
        <v>0</v>
      </c>
      <c r="M7" s="46">
        <v>0</v>
      </c>
      <c r="N7" s="46">
        <v>13</v>
      </c>
    </row>
    <row r="8" spans="1:14" ht="15.75" customHeight="1" x14ac:dyDescent="0.3">
      <c r="A8" s="45" t="s">
        <v>25</v>
      </c>
      <c r="B8" s="46">
        <v>0</v>
      </c>
      <c r="C8" s="46">
        <v>1</v>
      </c>
      <c r="D8" s="46">
        <v>0</v>
      </c>
      <c r="E8" s="46">
        <v>2</v>
      </c>
      <c r="F8" s="46">
        <v>0</v>
      </c>
      <c r="G8" s="46">
        <v>1</v>
      </c>
      <c r="H8" s="46">
        <v>1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5</v>
      </c>
    </row>
    <row r="9" spans="1:14" ht="15.75" customHeight="1" x14ac:dyDescent="0.3">
      <c r="A9" s="45" t="s">
        <v>26</v>
      </c>
      <c r="B9" s="46">
        <v>0</v>
      </c>
      <c r="C9" s="46">
        <v>0</v>
      </c>
      <c r="D9" s="46">
        <v>0</v>
      </c>
      <c r="E9" s="46">
        <v>1</v>
      </c>
      <c r="F9" s="46">
        <v>0</v>
      </c>
      <c r="G9" s="46">
        <v>0</v>
      </c>
      <c r="H9" s="46">
        <v>1</v>
      </c>
      <c r="I9" s="46">
        <v>1</v>
      </c>
      <c r="J9" s="46">
        <v>0</v>
      </c>
      <c r="K9" s="46">
        <v>0</v>
      </c>
      <c r="L9" s="46">
        <v>0</v>
      </c>
      <c r="M9" s="46">
        <v>1</v>
      </c>
      <c r="N9" s="46">
        <v>4</v>
      </c>
    </row>
    <row r="10" spans="1:14" ht="15.75" customHeight="1" x14ac:dyDescent="0.3">
      <c r="A10" s="45" t="s">
        <v>27</v>
      </c>
      <c r="B10" s="46">
        <v>5</v>
      </c>
      <c r="C10" s="46">
        <v>3</v>
      </c>
      <c r="D10" s="46">
        <v>1</v>
      </c>
      <c r="E10" s="46">
        <v>1</v>
      </c>
      <c r="F10" s="46">
        <v>2</v>
      </c>
      <c r="G10" s="46">
        <v>1</v>
      </c>
      <c r="H10" s="46">
        <v>3</v>
      </c>
      <c r="I10" s="46">
        <v>1</v>
      </c>
      <c r="J10" s="46">
        <v>2</v>
      </c>
      <c r="K10" s="46">
        <v>3</v>
      </c>
      <c r="L10" s="46">
        <v>2</v>
      </c>
      <c r="M10" s="46">
        <v>5</v>
      </c>
      <c r="N10" s="46">
        <v>29</v>
      </c>
    </row>
    <row r="11" spans="1:14" ht="15.75" customHeight="1" x14ac:dyDescent="0.3">
      <c r="A11" s="45" t="s">
        <v>29</v>
      </c>
      <c r="B11" s="46">
        <v>2</v>
      </c>
      <c r="C11" s="46">
        <v>2</v>
      </c>
      <c r="D11" s="46">
        <v>0</v>
      </c>
      <c r="E11" s="46">
        <v>1</v>
      </c>
      <c r="F11" s="46">
        <v>3</v>
      </c>
      <c r="G11" s="46">
        <v>2</v>
      </c>
      <c r="H11" s="46">
        <v>2</v>
      </c>
      <c r="I11" s="46">
        <v>0</v>
      </c>
      <c r="J11" s="46">
        <v>1</v>
      </c>
      <c r="K11" s="46">
        <v>0</v>
      </c>
      <c r="L11" s="46">
        <v>0</v>
      </c>
      <c r="M11" s="46">
        <v>0</v>
      </c>
      <c r="N11" s="46">
        <v>13</v>
      </c>
    </row>
    <row r="12" spans="1:14" ht="15.75" customHeight="1" x14ac:dyDescent="0.3">
      <c r="A12" s="45" t="s">
        <v>30</v>
      </c>
      <c r="B12" s="46">
        <v>6</v>
      </c>
      <c r="C12" s="46">
        <v>4</v>
      </c>
      <c r="D12" s="46">
        <v>6</v>
      </c>
      <c r="E12" s="46">
        <v>2</v>
      </c>
      <c r="F12" s="46">
        <v>6</v>
      </c>
      <c r="G12" s="46">
        <v>2</v>
      </c>
      <c r="H12" s="46">
        <v>5</v>
      </c>
      <c r="I12" s="46">
        <v>6</v>
      </c>
      <c r="J12" s="46">
        <v>6</v>
      </c>
      <c r="K12" s="46">
        <v>3</v>
      </c>
      <c r="L12" s="46">
        <v>3</v>
      </c>
      <c r="M12" s="46">
        <v>2</v>
      </c>
      <c r="N12" s="46">
        <v>51</v>
      </c>
    </row>
    <row r="13" spans="1:14" ht="15.75" customHeight="1" x14ac:dyDescent="0.3">
      <c r="A13" s="45" t="s">
        <v>31</v>
      </c>
      <c r="B13" s="46">
        <v>0</v>
      </c>
      <c r="C13" s="46">
        <v>1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1</v>
      </c>
    </row>
    <row r="14" spans="1:14" ht="15.75" customHeight="1" x14ac:dyDescent="0.3">
      <c r="A14" s="45" t="s">
        <v>32</v>
      </c>
      <c r="B14" s="46">
        <v>1</v>
      </c>
      <c r="C14" s="46">
        <v>1</v>
      </c>
      <c r="D14" s="46">
        <v>0</v>
      </c>
      <c r="E14" s="46">
        <v>1</v>
      </c>
      <c r="F14" s="46">
        <v>1</v>
      </c>
      <c r="G14" s="46">
        <v>0</v>
      </c>
      <c r="H14" s="46">
        <v>0</v>
      </c>
      <c r="I14" s="46">
        <v>0</v>
      </c>
      <c r="J14" s="46">
        <v>1</v>
      </c>
      <c r="K14" s="46">
        <v>0</v>
      </c>
      <c r="L14" s="46">
        <v>1</v>
      </c>
      <c r="M14" s="46">
        <v>1</v>
      </c>
      <c r="N14" s="46">
        <v>7</v>
      </c>
    </row>
    <row r="15" spans="1:14" ht="15.75" customHeight="1" x14ac:dyDescent="0.3">
      <c r="A15" s="45" t="s">
        <v>33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v>3</v>
      </c>
      <c r="H15" s="46">
        <v>1</v>
      </c>
      <c r="I15" s="46">
        <v>1</v>
      </c>
      <c r="J15" s="46">
        <v>1</v>
      </c>
      <c r="K15" s="46">
        <v>0</v>
      </c>
      <c r="L15" s="46">
        <v>1</v>
      </c>
      <c r="M15" s="46">
        <v>1</v>
      </c>
      <c r="N15" s="46">
        <v>8</v>
      </c>
    </row>
    <row r="16" spans="1:14" ht="15.75" customHeight="1" x14ac:dyDescent="0.3">
      <c r="A16" s="45" t="s">
        <v>34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1</v>
      </c>
      <c r="L16" s="46">
        <v>0</v>
      </c>
      <c r="M16" s="46">
        <v>0</v>
      </c>
      <c r="N16" s="46">
        <v>1</v>
      </c>
    </row>
    <row r="17" spans="1:14" ht="15.75" customHeight="1" x14ac:dyDescent="0.3">
      <c r="A17" s="45" t="s">
        <v>35</v>
      </c>
      <c r="B17" s="46">
        <v>6</v>
      </c>
      <c r="C17" s="46">
        <v>1</v>
      </c>
      <c r="D17" s="46">
        <v>3</v>
      </c>
      <c r="E17" s="46">
        <v>3</v>
      </c>
      <c r="F17" s="46">
        <v>3</v>
      </c>
      <c r="G17" s="46">
        <v>3</v>
      </c>
      <c r="H17" s="46">
        <v>4</v>
      </c>
      <c r="I17" s="46">
        <v>5</v>
      </c>
      <c r="J17" s="46">
        <v>5</v>
      </c>
      <c r="K17" s="46">
        <v>10</v>
      </c>
      <c r="L17" s="46">
        <v>9</v>
      </c>
      <c r="M17" s="46">
        <v>6</v>
      </c>
      <c r="N17" s="46">
        <v>58</v>
      </c>
    </row>
    <row r="18" spans="1:14" ht="15.75" customHeight="1" x14ac:dyDescent="0.3">
      <c r="A18" s="45" t="s">
        <v>36</v>
      </c>
      <c r="B18" s="46">
        <v>1</v>
      </c>
      <c r="C18" s="46">
        <v>0</v>
      </c>
      <c r="D18" s="46">
        <v>1</v>
      </c>
      <c r="E18" s="46">
        <v>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1</v>
      </c>
      <c r="L18" s="46">
        <v>0</v>
      </c>
      <c r="M18" s="46">
        <v>0</v>
      </c>
      <c r="N18" s="46">
        <v>4</v>
      </c>
    </row>
    <row r="19" spans="1:14" ht="15.75" customHeight="1" x14ac:dyDescent="0.3">
      <c r="A19" s="45" t="s">
        <v>37</v>
      </c>
      <c r="B19" s="46">
        <v>1</v>
      </c>
      <c r="C19" s="46">
        <v>0</v>
      </c>
      <c r="D19" s="46">
        <v>1</v>
      </c>
      <c r="E19" s="46">
        <v>0</v>
      </c>
      <c r="F19" s="46">
        <v>0</v>
      </c>
      <c r="G19" s="46">
        <v>0</v>
      </c>
      <c r="H19" s="46">
        <v>1</v>
      </c>
      <c r="I19" s="46">
        <v>1</v>
      </c>
      <c r="J19" s="46">
        <v>1</v>
      </c>
      <c r="K19" s="46">
        <v>1</v>
      </c>
      <c r="L19" s="46">
        <v>0</v>
      </c>
      <c r="M19" s="46">
        <v>0</v>
      </c>
      <c r="N19" s="46">
        <v>6</v>
      </c>
    </row>
    <row r="20" spans="1:14" ht="15.75" customHeight="1" x14ac:dyDescent="0.3">
      <c r="A20" s="45" t="s">
        <v>38</v>
      </c>
      <c r="B20" s="46">
        <v>0</v>
      </c>
      <c r="C20" s="46">
        <v>1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</v>
      </c>
      <c r="J20" s="46">
        <v>0</v>
      </c>
      <c r="K20" s="46">
        <v>0</v>
      </c>
      <c r="L20" s="46">
        <v>0</v>
      </c>
      <c r="M20" s="46">
        <v>0</v>
      </c>
      <c r="N20" s="46">
        <v>2</v>
      </c>
    </row>
    <row r="21" spans="1:14" ht="15.75" customHeight="1" x14ac:dyDescent="0.3">
      <c r="A21" s="45" t="s">
        <v>39</v>
      </c>
      <c r="B21" s="46">
        <v>10</v>
      </c>
      <c r="C21" s="46">
        <v>8</v>
      </c>
      <c r="D21" s="46">
        <v>18</v>
      </c>
      <c r="E21" s="46">
        <v>11</v>
      </c>
      <c r="F21" s="46">
        <v>17</v>
      </c>
      <c r="G21" s="46">
        <v>13</v>
      </c>
      <c r="H21" s="46">
        <v>13</v>
      </c>
      <c r="I21" s="46">
        <v>13</v>
      </c>
      <c r="J21" s="46">
        <v>13</v>
      </c>
      <c r="K21" s="46">
        <v>13</v>
      </c>
      <c r="L21" s="46">
        <v>11</v>
      </c>
      <c r="M21" s="46">
        <v>13</v>
      </c>
      <c r="N21" s="46">
        <v>153</v>
      </c>
    </row>
    <row r="22" spans="1:14" ht="15.75" customHeight="1" x14ac:dyDescent="0.3">
      <c r="A22" s="45" t="s">
        <v>40</v>
      </c>
      <c r="B22" s="46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1</v>
      </c>
      <c r="I22" s="46">
        <v>1</v>
      </c>
      <c r="J22" s="46">
        <v>0</v>
      </c>
      <c r="K22" s="46">
        <v>2</v>
      </c>
      <c r="L22" s="46">
        <v>3</v>
      </c>
      <c r="M22" s="46">
        <v>1</v>
      </c>
      <c r="N22" s="46">
        <v>8</v>
      </c>
    </row>
    <row r="23" spans="1:14" ht="15.75" customHeight="1" x14ac:dyDescent="0.3">
      <c r="A23" s="45" t="s">
        <v>41</v>
      </c>
      <c r="B23" s="46">
        <v>1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</v>
      </c>
      <c r="J23" s="46">
        <v>0</v>
      </c>
      <c r="K23" s="46">
        <v>0</v>
      </c>
      <c r="L23" s="46">
        <v>0</v>
      </c>
      <c r="M23" s="46">
        <v>0</v>
      </c>
      <c r="N23" s="46">
        <v>2</v>
      </c>
    </row>
    <row r="24" spans="1:14" ht="15.75" customHeight="1" x14ac:dyDescent="0.3">
      <c r="A24" s="45" t="s">
        <v>43</v>
      </c>
      <c r="B24" s="46">
        <v>0</v>
      </c>
      <c r="C24" s="46">
        <v>0</v>
      </c>
      <c r="D24" s="46">
        <v>0</v>
      </c>
      <c r="E24" s="46">
        <v>0</v>
      </c>
      <c r="F24" s="46">
        <v>1</v>
      </c>
      <c r="G24" s="46">
        <v>0</v>
      </c>
      <c r="H24" s="46">
        <v>0</v>
      </c>
      <c r="I24" s="46">
        <v>0</v>
      </c>
      <c r="J24" s="46">
        <v>1</v>
      </c>
      <c r="K24" s="46">
        <v>0</v>
      </c>
      <c r="L24" s="46">
        <v>2</v>
      </c>
      <c r="M24" s="46">
        <v>1</v>
      </c>
      <c r="N24" s="46">
        <v>5</v>
      </c>
    </row>
    <row r="25" spans="1:14" ht="15.75" customHeight="1" x14ac:dyDescent="0.3">
      <c r="A25" s="45" t="s">
        <v>44</v>
      </c>
      <c r="B25" s="46">
        <v>1</v>
      </c>
      <c r="C25" s="46">
        <v>1</v>
      </c>
      <c r="D25" s="46">
        <v>1</v>
      </c>
      <c r="E25" s="46">
        <v>1</v>
      </c>
      <c r="F25" s="46">
        <v>4</v>
      </c>
      <c r="G25" s="46">
        <v>2</v>
      </c>
      <c r="H25" s="46">
        <v>0</v>
      </c>
      <c r="I25" s="46">
        <v>0</v>
      </c>
      <c r="J25" s="46">
        <v>3</v>
      </c>
      <c r="K25" s="46">
        <v>3</v>
      </c>
      <c r="L25" s="46">
        <v>5</v>
      </c>
      <c r="M25" s="46">
        <v>0</v>
      </c>
      <c r="N25" s="46">
        <v>21</v>
      </c>
    </row>
    <row r="26" spans="1:14" ht="15.75" customHeight="1" x14ac:dyDescent="0.3">
      <c r="A26" s="45" t="s">
        <v>45</v>
      </c>
      <c r="B26" s="46">
        <v>0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1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1</v>
      </c>
    </row>
    <row r="27" spans="1:14" ht="15.75" customHeight="1" x14ac:dyDescent="0.3">
      <c r="A27" s="45" t="s">
        <v>46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1</v>
      </c>
      <c r="N27" s="46">
        <v>1</v>
      </c>
    </row>
    <row r="28" spans="1:14" ht="15.75" customHeight="1" x14ac:dyDescent="0.3">
      <c r="A28" s="45" t="s">
        <v>47</v>
      </c>
      <c r="B28" s="46">
        <v>1</v>
      </c>
      <c r="C28" s="46">
        <v>2</v>
      </c>
      <c r="D28" s="46">
        <v>1</v>
      </c>
      <c r="E28" s="46">
        <v>2</v>
      </c>
      <c r="F28" s="46">
        <v>2</v>
      </c>
      <c r="G28" s="46">
        <v>3</v>
      </c>
      <c r="H28" s="46">
        <v>3</v>
      </c>
      <c r="I28" s="46">
        <v>1</v>
      </c>
      <c r="J28" s="46">
        <v>1</v>
      </c>
      <c r="K28" s="46">
        <v>2</v>
      </c>
      <c r="L28" s="46">
        <v>0</v>
      </c>
      <c r="M28" s="46">
        <v>1</v>
      </c>
      <c r="N28" s="46">
        <v>19</v>
      </c>
    </row>
    <row r="29" spans="1:14" ht="15.75" customHeight="1" x14ac:dyDescent="0.3">
      <c r="A29" s="45" t="s">
        <v>48</v>
      </c>
      <c r="B29" s="46">
        <v>0</v>
      </c>
      <c r="C29" s="46">
        <v>0</v>
      </c>
      <c r="D29" s="46">
        <v>1</v>
      </c>
      <c r="E29" s="46">
        <v>0</v>
      </c>
      <c r="F29" s="46">
        <v>1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2</v>
      </c>
    </row>
    <row r="30" spans="1:14" ht="15.75" customHeight="1" x14ac:dyDescent="0.3">
      <c r="A30" s="45" t="s">
        <v>49</v>
      </c>
      <c r="B30" s="46">
        <v>0</v>
      </c>
      <c r="C30" s="46">
        <v>0</v>
      </c>
      <c r="D30" s="46">
        <v>0</v>
      </c>
      <c r="E30" s="46">
        <v>1</v>
      </c>
      <c r="F30" s="46">
        <v>0</v>
      </c>
      <c r="G30" s="46">
        <v>0</v>
      </c>
      <c r="H30" s="46">
        <v>0</v>
      </c>
      <c r="I30" s="46">
        <v>0</v>
      </c>
      <c r="J30" s="46">
        <v>1</v>
      </c>
      <c r="K30" s="46">
        <v>1</v>
      </c>
      <c r="L30" s="46">
        <v>1</v>
      </c>
      <c r="M30" s="46">
        <v>0</v>
      </c>
      <c r="N30" s="46">
        <v>4</v>
      </c>
    </row>
    <row r="31" spans="1:14" ht="15.75" customHeight="1" x14ac:dyDescent="0.3">
      <c r="A31" s="45" t="s">
        <v>50</v>
      </c>
      <c r="B31" s="46">
        <v>8</v>
      </c>
      <c r="C31" s="46">
        <v>6</v>
      </c>
      <c r="D31" s="46">
        <v>8</v>
      </c>
      <c r="E31" s="46">
        <v>5</v>
      </c>
      <c r="F31" s="46">
        <v>4</v>
      </c>
      <c r="G31" s="46">
        <v>4</v>
      </c>
      <c r="H31" s="46">
        <v>7</v>
      </c>
      <c r="I31" s="46">
        <v>5</v>
      </c>
      <c r="J31" s="46">
        <v>4</v>
      </c>
      <c r="K31" s="46">
        <v>8</v>
      </c>
      <c r="L31" s="46">
        <v>9</v>
      </c>
      <c r="M31" s="46">
        <v>5</v>
      </c>
      <c r="N31" s="46">
        <v>73</v>
      </c>
    </row>
    <row r="32" spans="1:14" ht="15.75" customHeight="1" x14ac:dyDescent="0.3">
      <c r="A32" s="45" t="s">
        <v>51</v>
      </c>
      <c r="B32" s="46">
        <v>0</v>
      </c>
      <c r="C32" s="46">
        <v>1</v>
      </c>
      <c r="D32" s="46">
        <v>0</v>
      </c>
      <c r="E32" s="46">
        <v>3</v>
      </c>
      <c r="F32" s="46">
        <v>0</v>
      </c>
      <c r="G32" s="46">
        <v>1</v>
      </c>
      <c r="H32" s="46">
        <v>1</v>
      </c>
      <c r="I32" s="46">
        <v>0</v>
      </c>
      <c r="J32" s="46">
        <v>2</v>
      </c>
      <c r="K32" s="46">
        <v>0</v>
      </c>
      <c r="L32" s="46">
        <v>1</v>
      </c>
      <c r="M32" s="46">
        <v>0</v>
      </c>
      <c r="N32" s="46">
        <v>9</v>
      </c>
    </row>
    <row r="33" spans="1:14" ht="15.75" customHeight="1" x14ac:dyDescent="0.3">
      <c r="A33" s="45" t="s">
        <v>52</v>
      </c>
      <c r="B33" s="46">
        <v>0</v>
      </c>
      <c r="C33" s="46">
        <v>0</v>
      </c>
      <c r="D33" s="46">
        <v>0</v>
      </c>
      <c r="E33" s="46">
        <v>0</v>
      </c>
      <c r="F33" s="46">
        <v>0</v>
      </c>
      <c r="G33" s="46">
        <v>0</v>
      </c>
      <c r="H33" s="46">
        <v>1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1</v>
      </c>
    </row>
    <row r="34" spans="1:14" ht="15.75" customHeight="1" x14ac:dyDescent="0.3">
      <c r="A34" s="45" t="s">
        <v>53</v>
      </c>
      <c r="B34" s="46">
        <v>6</v>
      </c>
      <c r="C34" s="46">
        <v>9</v>
      </c>
      <c r="D34" s="46">
        <v>9</v>
      </c>
      <c r="E34" s="46">
        <v>13</v>
      </c>
      <c r="F34" s="46">
        <v>10</v>
      </c>
      <c r="G34" s="46">
        <v>8</v>
      </c>
      <c r="H34" s="46">
        <v>6</v>
      </c>
      <c r="I34" s="46">
        <v>12</v>
      </c>
      <c r="J34" s="46">
        <v>7</v>
      </c>
      <c r="K34" s="46">
        <v>7</v>
      </c>
      <c r="L34" s="46">
        <v>5</v>
      </c>
      <c r="M34" s="46">
        <v>8</v>
      </c>
      <c r="N34" s="46">
        <v>100</v>
      </c>
    </row>
    <row r="35" spans="1:14" ht="15.75" customHeight="1" x14ac:dyDescent="0.3">
      <c r="A35" s="45" t="s">
        <v>54</v>
      </c>
      <c r="B35" s="46">
        <v>6</v>
      </c>
      <c r="C35" s="46">
        <v>5</v>
      </c>
      <c r="D35" s="46">
        <v>6</v>
      </c>
      <c r="E35" s="46">
        <v>2</v>
      </c>
      <c r="F35" s="46">
        <v>6</v>
      </c>
      <c r="G35" s="46">
        <v>4</v>
      </c>
      <c r="H35" s="46">
        <v>4</v>
      </c>
      <c r="I35" s="46">
        <v>3</v>
      </c>
      <c r="J35" s="46">
        <v>3</v>
      </c>
      <c r="K35" s="46">
        <v>8</v>
      </c>
      <c r="L35" s="46">
        <v>7</v>
      </c>
      <c r="M35" s="46">
        <v>4</v>
      </c>
      <c r="N35" s="46">
        <v>58</v>
      </c>
    </row>
    <row r="36" spans="1:14" ht="15.75" customHeight="1" x14ac:dyDescent="0.3">
      <c r="A36" s="45" t="s">
        <v>55</v>
      </c>
      <c r="B36" s="46">
        <v>1</v>
      </c>
      <c r="C36" s="46">
        <v>0</v>
      </c>
      <c r="D36" s="46">
        <v>0</v>
      </c>
      <c r="E36" s="46">
        <v>0</v>
      </c>
      <c r="F36" s="46">
        <v>0</v>
      </c>
      <c r="G36" s="46">
        <v>1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2</v>
      </c>
    </row>
    <row r="37" spans="1:14" ht="15.75" customHeight="1" x14ac:dyDescent="0.3">
      <c r="A37" s="45" t="s">
        <v>56</v>
      </c>
      <c r="B37" s="46">
        <v>12</v>
      </c>
      <c r="C37" s="46">
        <v>2</v>
      </c>
      <c r="D37" s="46">
        <v>9</v>
      </c>
      <c r="E37" s="46">
        <v>19</v>
      </c>
      <c r="F37" s="46">
        <v>9</v>
      </c>
      <c r="G37" s="46">
        <v>6</v>
      </c>
      <c r="H37" s="46">
        <v>15</v>
      </c>
      <c r="I37" s="46">
        <v>9</v>
      </c>
      <c r="J37" s="46">
        <v>5</v>
      </c>
      <c r="K37" s="46">
        <v>11</v>
      </c>
      <c r="L37" s="46">
        <v>6</v>
      </c>
      <c r="M37" s="46">
        <v>9</v>
      </c>
      <c r="N37" s="46">
        <v>112</v>
      </c>
    </row>
    <row r="38" spans="1:14" ht="15.75" customHeight="1" x14ac:dyDescent="0.3">
      <c r="A38" s="45" t="s">
        <v>57</v>
      </c>
      <c r="B38" s="46">
        <v>6</v>
      </c>
      <c r="C38" s="46">
        <v>10</v>
      </c>
      <c r="D38" s="46">
        <v>11</v>
      </c>
      <c r="E38" s="46">
        <v>6</v>
      </c>
      <c r="F38" s="46">
        <v>5</v>
      </c>
      <c r="G38" s="46">
        <v>9</v>
      </c>
      <c r="H38" s="46">
        <v>10</v>
      </c>
      <c r="I38" s="46">
        <v>9</v>
      </c>
      <c r="J38" s="46">
        <v>11</v>
      </c>
      <c r="K38" s="46">
        <v>5</v>
      </c>
      <c r="L38" s="46">
        <v>11</v>
      </c>
      <c r="M38" s="46">
        <v>9</v>
      </c>
      <c r="N38" s="46">
        <v>102</v>
      </c>
    </row>
    <row r="39" spans="1:14" ht="15.75" customHeight="1" x14ac:dyDescent="0.3">
      <c r="A39" s="45" t="s">
        <v>58</v>
      </c>
      <c r="B39" s="46">
        <v>2</v>
      </c>
      <c r="C39" s="46">
        <v>1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1</v>
      </c>
      <c r="K39" s="46">
        <v>1</v>
      </c>
      <c r="L39" s="46">
        <v>2</v>
      </c>
      <c r="M39" s="46">
        <v>0</v>
      </c>
      <c r="N39" s="46">
        <v>7</v>
      </c>
    </row>
    <row r="40" spans="1:14" ht="15.75" customHeight="1" x14ac:dyDescent="0.3">
      <c r="A40" s="45" t="s">
        <v>59</v>
      </c>
      <c r="B40" s="46">
        <v>2</v>
      </c>
      <c r="C40" s="46">
        <v>2</v>
      </c>
      <c r="D40" s="46">
        <v>4</v>
      </c>
      <c r="E40" s="46">
        <v>1</v>
      </c>
      <c r="F40" s="46">
        <v>7</v>
      </c>
      <c r="G40" s="46">
        <v>4</v>
      </c>
      <c r="H40" s="46">
        <v>6</v>
      </c>
      <c r="I40" s="46">
        <v>5</v>
      </c>
      <c r="J40" s="46">
        <v>0</v>
      </c>
      <c r="K40" s="46">
        <v>5</v>
      </c>
      <c r="L40" s="46">
        <v>4</v>
      </c>
      <c r="M40" s="46">
        <v>4</v>
      </c>
      <c r="N40" s="46">
        <v>44</v>
      </c>
    </row>
    <row r="41" spans="1:14" ht="15.75" customHeight="1" x14ac:dyDescent="0.3">
      <c r="A41" s="45" t="s">
        <v>60</v>
      </c>
      <c r="B41" s="46">
        <v>0</v>
      </c>
      <c r="C41" s="46">
        <v>0</v>
      </c>
      <c r="D41" s="46">
        <v>2</v>
      </c>
      <c r="E41" s="46">
        <v>0</v>
      </c>
      <c r="F41" s="46">
        <v>0</v>
      </c>
      <c r="G41" s="46">
        <v>0</v>
      </c>
      <c r="H41" s="46">
        <v>4</v>
      </c>
      <c r="I41" s="46">
        <v>1</v>
      </c>
      <c r="J41" s="46">
        <v>2</v>
      </c>
      <c r="K41" s="46">
        <v>0</v>
      </c>
      <c r="L41" s="46">
        <v>0</v>
      </c>
      <c r="M41" s="46">
        <v>0</v>
      </c>
      <c r="N41" s="46">
        <v>9</v>
      </c>
    </row>
    <row r="42" spans="1:14" ht="15.75" customHeight="1" x14ac:dyDescent="0.3">
      <c r="A42" s="45" t="s">
        <v>61</v>
      </c>
      <c r="B42" s="46">
        <v>0</v>
      </c>
      <c r="C42" s="46">
        <v>2</v>
      </c>
      <c r="D42" s="46">
        <v>1</v>
      </c>
      <c r="E42" s="46">
        <v>0</v>
      </c>
      <c r="F42" s="46">
        <v>1</v>
      </c>
      <c r="G42" s="46">
        <v>0</v>
      </c>
      <c r="H42" s="46">
        <v>0</v>
      </c>
      <c r="I42" s="46">
        <v>1</v>
      </c>
      <c r="J42" s="46">
        <v>1</v>
      </c>
      <c r="K42" s="46">
        <v>1</v>
      </c>
      <c r="L42" s="46">
        <v>0</v>
      </c>
      <c r="M42" s="46">
        <v>0</v>
      </c>
      <c r="N42" s="46">
        <v>7</v>
      </c>
    </row>
    <row r="43" spans="1:14" ht="15.75" customHeight="1" x14ac:dyDescent="0.3">
      <c r="A43" s="45" t="s">
        <v>62</v>
      </c>
      <c r="B43" s="46">
        <v>1</v>
      </c>
      <c r="C43" s="46">
        <v>0</v>
      </c>
      <c r="D43" s="46">
        <v>0</v>
      </c>
      <c r="E43" s="46">
        <v>0</v>
      </c>
      <c r="F43" s="46">
        <v>0</v>
      </c>
      <c r="G43" s="46">
        <v>3</v>
      </c>
      <c r="H43" s="46">
        <v>2</v>
      </c>
      <c r="I43" s="46">
        <v>1</v>
      </c>
      <c r="J43" s="46">
        <v>0</v>
      </c>
      <c r="K43" s="46">
        <v>2</v>
      </c>
      <c r="L43" s="46">
        <v>2</v>
      </c>
      <c r="M43" s="46">
        <v>1</v>
      </c>
      <c r="N43" s="46">
        <v>12</v>
      </c>
    </row>
    <row r="44" spans="1:14" ht="15.75" customHeight="1" x14ac:dyDescent="0.3">
      <c r="A44" s="45" t="s">
        <v>63</v>
      </c>
      <c r="B44" s="46">
        <v>1</v>
      </c>
      <c r="C44" s="46">
        <v>2</v>
      </c>
      <c r="D44" s="46">
        <v>5</v>
      </c>
      <c r="E44" s="46">
        <v>1</v>
      </c>
      <c r="F44" s="46">
        <v>7</v>
      </c>
      <c r="G44" s="46">
        <v>3</v>
      </c>
      <c r="H44" s="46">
        <v>5</v>
      </c>
      <c r="I44" s="46">
        <v>5</v>
      </c>
      <c r="J44" s="46">
        <v>1</v>
      </c>
      <c r="K44" s="46">
        <v>4</v>
      </c>
      <c r="L44" s="46">
        <v>3</v>
      </c>
      <c r="M44" s="46">
        <v>2</v>
      </c>
      <c r="N44" s="46">
        <v>39</v>
      </c>
    </row>
    <row r="45" spans="1:14" ht="15.75" customHeight="1" x14ac:dyDescent="0.3">
      <c r="A45" s="45" t="s">
        <v>64</v>
      </c>
      <c r="B45" s="46">
        <v>2</v>
      </c>
      <c r="C45" s="46">
        <v>1</v>
      </c>
      <c r="D45" s="46">
        <v>1</v>
      </c>
      <c r="E45" s="46">
        <v>0</v>
      </c>
      <c r="F45" s="46">
        <v>3</v>
      </c>
      <c r="G45" s="46">
        <v>1</v>
      </c>
      <c r="H45" s="46">
        <v>1</v>
      </c>
      <c r="I45" s="46">
        <v>0</v>
      </c>
      <c r="J45" s="46">
        <v>0</v>
      </c>
      <c r="K45" s="46">
        <v>0</v>
      </c>
      <c r="L45" s="46">
        <v>0</v>
      </c>
      <c r="M45" s="46">
        <v>2</v>
      </c>
      <c r="N45" s="46">
        <v>11</v>
      </c>
    </row>
    <row r="46" spans="1:14" ht="15.75" customHeight="1" x14ac:dyDescent="0.3">
      <c r="A46" s="45" t="s">
        <v>65</v>
      </c>
      <c r="B46" s="46">
        <v>1</v>
      </c>
      <c r="C46" s="46">
        <v>0</v>
      </c>
      <c r="D46" s="46">
        <v>0</v>
      </c>
      <c r="E46" s="46">
        <v>1</v>
      </c>
      <c r="F46" s="46">
        <v>0</v>
      </c>
      <c r="G46" s="46">
        <v>1</v>
      </c>
      <c r="H46" s="46">
        <v>0</v>
      </c>
      <c r="I46" s="46">
        <v>3</v>
      </c>
      <c r="J46" s="46">
        <v>1</v>
      </c>
      <c r="K46" s="46">
        <v>1</v>
      </c>
      <c r="L46" s="46">
        <v>2</v>
      </c>
      <c r="M46" s="46">
        <v>0</v>
      </c>
      <c r="N46" s="46">
        <v>10</v>
      </c>
    </row>
    <row r="47" spans="1:14" ht="15.75" customHeight="1" x14ac:dyDescent="0.3">
      <c r="A47" s="45" t="s">
        <v>67</v>
      </c>
      <c r="B47" s="46">
        <v>3</v>
      </c>
      <c r="C47" s="46">
        <v>2</v>
      </c>
      <c r="D47" s="46">
        <v>0</v>
      </c>
      <c r="E47" s="46">
        <v>1</v>
      </c>
      <c r="F47" s="46">
        <v>1</v>
      </c>
      <c r="G47" s="46">
        <v>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8</v>
      </c>
    </row>
    <row r="48" spans="1:14" ht="15.75" customHeight="1" x14ac:dyDescent="0.3">
      <c r="A48" s="45" t="s">
        <v>68</v>
      </c>
      <c r="B48" s="46">
        <v>0</v>
      </c>
      <c r="C48" s="46">
        <v>0</v>
      </c>
      <c r="D48" s="46">
        <v>2</v>
      </c>
      <c r="E48" s="46">
        <v>3</v>
      </c>
      <c r="F48" s="46">
        <v>0</v>
      </c>
      <c r="G48" s="46">
        <v>0</v>
      </c>
      <c r="H48" s="46">
        <v>2</v>
      </c>
      <c r="I48" s="46">
        <v>0</v>
      </c>
      <c r="J48" s="46">
        <v>0</v>
      </c>
      <c r="K48" s="46">
        <v>2</v>
      </c>
      <c r="L48" s="46">
        <v>1</v>
      </c>
      <c r="M48" s="46">
        <v>0</v>
      </c>
      <c r="N48" s="46">
        <v>10</v>
      </c>
    </row>
    <row r="49" spans="1:14" ht="15.75" customHeight="1" x14ac:dyDescent="0.3">
      <c r="A49" s="45" t="s">
        <v>69</v>
      </c>
      <c r="B49" s="46">
        <v>1</v>
      </c>
      <c r="C49" s="46">
        <v>0</v>
      </c>
      <c r="D49" s="46">
        <v>1</v>
      </c>
      <c r="E49" s="46">
        <v>3</v>
      </c>
      <c r="F49" s="46">
        <v>2</v>
      </c>
      <c r="G49" s="46">
        <v>1</v>
      </c>
      <c r="H49" s="46">
        <v>0</v>
      </c>
      <c r="I49" s="46">
        <v>2</v>
      </c>
      <c r="J49" s="46">
        <v>0</v>
      </c>
      <c r="K49" s="46">
        <v>4</v>
      </c>
      <c r="L49" s="46">
        <v>2</v>
      </c>
      <c r="M49" s="46">
        <v>2</v>
      </c>
      <c r="N49" s="46">
        <v>18</v>
      </c>
    </row>
    <row r="50" spans="1:14" ht="15.75" customHeight="1" x14ac:dyDescent="0.3">
      <c r="A50" s="45" t="s">
        <v>70</v>
      </c>
      <c r="B50" s="46">
        <v>1</v>
      </c>
      <c r="C50" s="46">
        <v>3</v>
      </c>
      <c r="D50" s="46">
        <v>4</v>
      </c>
      <c r="E50" s="46">
        <v>3</v>
      </c>
      <c r="F50" s="46">
        <v>3</v>
      </c>
      <c r="G50" s="46">
        <v>8</v>
      </c>
      <c r="H50" s="46">
        <v>3</v>
      </c>
      <c r="I50" s="46">
        <v>5</v>
      </c>
      <c r="J50" s="46">
        <v>4</v>
      </c>
      <c r="K50" s="46">
        <v>1</v>
      </c>
      <c r="L50" s="46">
        <v>4</v>
      </c>
      <c r="M50" s="46">
        <v>3</v>
      </c>
      <c r="N50" s="46">
        <v>42</v>
      </c>
    </row>
    <row r="51" spans="1:14" ht="15.75" customHeight="1" x14ac:dyDescent="0.3">
      <c r="A51" s="45" t="s">
        <v>71</v>
      </c>
      <c r="B51" s="46">
        <v>0</v>
      </c>
      <c r="C51" s="46">
        <v>0</v>
      </c>
      <c r="D51" s="46">
        <v>0</v>
      </c>
      <c r="E51" s="46">
        <v>2</v>
      </c>
      <c r="F51" s="46">
        <v>1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2</v>
      </c>
      <c r="M51" s="46">
        <v>0</v>
      </c>
      <c r="N51" s="46">
        <v>5</v>
      </c>
    </row>
    <row r="52" spans="1:14" ht="15.75" customHeight="1" x14ac:dyDescent="0.3">
      <c r="A52" s="45" t="s">
        <v>72</v>
      </c>
      <c r="B52" s="46">
        <v>0</v>
      </c>
      <c r="C52" s="46">
        <v>0</v>
      </c>
      <c r="D52" s="46">
        <v>0</v>
      </c>
      <c r="E52" s="46">
        <v>0</v>
      </c>
      <c r="F52" s="46">
        <v>1</v>
      </c>
      <c r="G52" s="46">
        <v>0</v>
      </c>
      <c r="H52" s="46">
        <v>0</v>
      </c>
      <c r="I52" s="46">
        <v>1</v>
      </c>
      <c r="J52" s="46">
        <v>0</v>
      </c>
      <c r="K52" s="46">
        <v>1</v>
      </c>
      <c r="L52" s="46">
        <v>1</v>
      </c>
      <c r="M52" s="46">
        <v>0</v>
      </c>
      <c r="N52" s="46">
        <v>4</v>
      </c>
    </row>
    <row r="53" spans="1:14" ht="15.75" customHeight="1" x14ac:dyDescent="0.3">
      <c r="A53" s="45" t="s">
        <v>73</v>
      </c>
      <c r="B53" s="46">
        <v>0</v>
      </c>
      <c r="C53" s="46">
        <v>0</v>
      </c>
      <c r="D53" s="46">
        <v>0</v>
      </c>
      <c r="E53" s="46">
        <v>1</v>
      </c>
      <c r="F53" s="46">
        <v>1</v>
      </c>
      <c r="G53" s="46">
        <v>1</v>
      </c>
      <c r="H53" s="46">
        <v>2</v>
      </c>
      <c r="I53" s="46">
        <v>1</v>
      </c>
      <c r="J53" s="46">
        <v>1</v>
      </c>
      <c r="K53" s="46">
        <v>0</v>
      </c>
      <c r="L53" s="46">
        <v>1</v>
      </c>
      <c r="M53" s="46">
        <v>0</v>
      </c>
      <c r="N53" s="46">
        <v>8</v>
      </c>
    </row>
    <row r="54" spans="1:14" ht="15.75" customHeight="1" x14ac:dyDescent="0.3">
      <c r="A54" s="45" t="s">
        <v>74</v>
      </c>
      <c r="B54" s="46">
        <v>1</v>
      </c>
      <c r="C54" s="46">
        <v>3</v>
      </c>
      <c r="D54" s="46">
        <v>1</v>
      </c>
      <c r="E54" s="46">
        <v>3</v>
      </c>
      <c r="F54" s="46">
        <v>3</v>
      </c>
      <c r="G54" s="46">
        <v>2</v>
      </c>
      <c r="H54" s="46">
        <v>2</v>
      </c>
      <c r="I54" s="46">
        <v>3</v>
      </c>
      <c r="J54" s="46">
        <v>4</v>
      </c>
      <c r="K54" s="46">
        <v>2</v>
      </c>
      <c r="L54" s="46">
        <v>3</v>
      </c>
      <c r="M54" s="46">
        <v>3</v>
      </c>
      <c r="N54" s="46">
        <v>30</v>
      </c>
    </row>
    <row r="55" spans="1:14" ht="15.75" customHeight="1" x14ac:dyDescent="0.3">
      <c r="A55" s="45" t="s">
        <v>75</v>
      </c>
      <c r="B55" s="46">
        <v>0</v>
      </c>
      <c r="C55" s="46">
        <v>0</v>
      </c>
      <c r="D55" s="46">
        <v>2</v>
      </c>
      <c r="E55" s="46">
        <v>0</v>
      </c>
      <c r="F55" s="46">
        <v>0</v>
      </c>
      <c r="G55" s="46">
        <v>0</v>
      </c>
      <c r="H55" s="46">
        <v>1</v>
      </c>
      <c r="I55" s="46">
        <v>1</v>
      </c>
      <c r="J55" s="46">
        <v>1</v>
      </c>
      <c r="K55" s="46">
        <v>0</v>
      </c>
      <c r="L55" s="46">
        <v>1</v>
      </c>
      <c r="M55" s="46">
        <v>0</v>
      </c>
      <c r="N55" s="46">
        <v>6</v>
      </c>
    </row>
    <row r="56" spans="1:14" ht="15.75" customHeight="1" x14ac:dyDescent="0.3">
      <c r="A56" s="45" t="s">
        <v>76</v>
      </c>
      <c r="B56" s="46">
        <v>1</v>
      </c>
      <c r="C56" s="46">
        <v>2</v>
      </c>
      <c r="D56" s="46">
        <v>1</v>
      </c>
      <c r="E56" s="46">
        <v>2</v>
      </c>
      <c r="F56" s="46">
        <v>2</v>
      </c>
      <c r="G56" s="46">
        <v>2</v>
      </c>
      <c r="H56" s="46">
        <v>2</v>
      </c>
      <c r="I56" s="46">
        <v>1</v>
      </c>
      <c r="J56" s="46">
        <v>2</v>
      </c>
      <c r="K56" s="46">
        <v>2</v>
      </c>
      <c r="L56" s="46">
        <v>0</v>
      </c>
      <c r="M56" s="46">
        <v>4</v>
      </c>
      <c r="N56" s="46">
        <v>21</v>
      </c>
    </row>
    <row r="57" spans="1:14" ht="15.75" customHeight="1" x14ac:dyDescent="0.3">
      <c r="A57" s="45" t="s">
        <v>77</v>
      </c>
      <c r="B57" s="46">
        <v>2</v>
      </c>
      <c r="C57" s="46">
        <v>1</v>
      </c>
      <c r="D57" s="46">
        <v>1</v>
      </c>
      <c r="E57" s="46">
        <v>1</v>
      </c>
      <c r="F57" s="46">
        <v>0</v>
      </c>
      <c r="G57" s="46">
        <v>1</v>
      </c>
      <c r="H57" s="46">
        <v>1</v>
      </c>
      <c r="I57" s="46">
        <v>1</v>
      </c>
      <c r="J57" s="46">
        <v>1</v>
      </c>
      <c r="K57" s="46">
        <v>0</v>
      </c>
      <c r="L57" s="46">
        <v>0</v>
      </c>
      <c r="M57" s="46">
        <v>1</v>
      </c>
      <c r="N57" s="46">
        <v>10</v>
      </c>
    </row>
    <row r="58" spans="1:14" ht="15.75" customHeight="1" x14ac:dyDescent="0.3">
      <c r="A58" s="45" t="s">
        <v>78</v>
      </c>
      <c r="B58" s="46">
        <v>1</v>
      </c>
      <c r="C58" s="46">
        <v>0</v>
      </c>
      <c r="D58" s="46">
        <v>0</v>
      </c>
      <c r="E58" s="46">
        <v>0</v>
      </c>
      <c r="F58" s="46">
        <v>0</v>
      </c>
      <c r="G58" s="46">
        <v>1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1</v>
      </c>
      <c r="N58" s="46">
        <v>3</v>
      </c>
    </row>
    <row r="59" spans="1:14" ht="15.75" customHeight="1" x14ac:dyDescent="0.3">
      <c r="A59" s="58" t="s">
        <v>276</v>
      </c>
      <c r="B59" s="46">
        <v>96</v>
      </c>
      <c r="C59" s="46">
        <v>85</v>
      </c>
      <c r="D59" s="46">
        <v>107</v>
      </c>
      <c r="E59" s="46">
        <v>102</v>
      </c>
      <c r="F59" s="46">
        <v>115</v>
      </c>
      <c r="G59" s="46">
        <v>96</v>
      </c>
      <c r="H59" s="46">
        <v>113</v>
      </c>
      <c r="I59" s="46">
        <v>106</v>
      </c>
      <c r="J59" s="46">
        <v>90</v>
      </c>
      <c r="K59" s="46">
        <v>108</v>
      </c>
      <c r="L59" s="46">
        <v>110</v>
      </c>
      <c r="M59" s="46">
        <v>92</v>
      </c>
      <c r="N59" s="46">
        <v>1220</v>
      </c>
    </row>
    <row r="60" spans="1:14" ht="15.75" customHeight="1" x14ac:dyDescent="0.35">
      <c r="A60"/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1:14" ht="15.75" customHeight="1" x14ac:dyDescent="0.35">
      <c r="A61"/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 ht="15.5" x14ac:dyDescent="0.35">
      <c r="A62"/>
      <c r="B62"/>
    </row>
    <row r="63" spans="1:14" ht="15.5" x14ac:dyDescent="0.35">
      <c r="A63"/>
      <c r="B63"/>
    </row>
    <row r="64" spans="1:14" ht="15.5" x14ac:dyDescent="0.35">
      <c r="A64"/>
      <c r="B64"/>
    </row>
    <row r="65" spans="1:2" ht="15.5" x14ac:dyDescent="0.35">
      <c r="A65"/>
      <c r="B65"/>
    </row>
    <row r="66" spans="1:2" ht="15.5" x14ac:dyDescent="0.35">
      <c r="A66"/>
      <c r="B66"/>
    </row>
    <row r="67" spans="1:2" ht="15.5" x14ac:dyDescent="0.35">
      <c r="A67"/>
      <c r="B67"/>
    </row>
    <row r="68" spans="1:2" ht="15.5" x14ac:dyDescent="0.35">
      <c r="A68"/>
      <c r="B68"/>
    </row>
    <row r="69" spans="1:2" ht="15.5" x14ac:dyDescent="0.35">
      <c r="A69"/>
      <c r="B69"/>
    </row>
    <row r="70" spans="1:2" ht="15.5" x14ac:dyDescent="0.35">
      <c r="A70"/>
      <c r="B70"/>
    </row>
    <row r="71" spans="1:2" ht="15.5" x14ac:dyDescent="0.35">
      <c r="A71"/>
      <c r="B71"/>
    </row>
    <row r="72" spans="1:2" ht="15.5" x14ac:dyDescent="0.35">
      <c r="A72"/>
      <c r="B72"/>
    </row>
    <row r="73" spans="1:2" ht="15.5" x14ac:dyDescent="0.35">
      <c r="A73"/>
      <c r="B73"/>
    </row>
    <row r="74" spans="1:2" ht="15.5" x14ac:dyDescent="0.35">
      <c r="A74"/>
      <c r="B74"/>
    </row>
    <row r="75" spans="1:2" ht="15.5" x14ac:dyDescent="0.35">
      <c r="A75"/>
      <c r="B75"/>
    </row>
    <row r="76" spans="1:2" ht="15.5" x14ac:dyDescent="0.35">
      <c r="A76"/>
      <c r="B76"/>
    </row>
    <row r="77" spans="1:2" ht="15.5" x14ac:dyDescent="0.35">
      <c r="A77"/>
      <c r="B77"/>
    </row>
    <row r="78" spans="1:2" ht="15.5" x14ac:dyDescent="0.35">
      <c r="A78"/>
      <c r="B78"/>
    </row>
    <row r="79" spans="1:2" ht="15.5" x14ac:dyDescent="0.35">
      <c r="A79"/>
      <c r="B79"/>
    </row>
    <row r="80" spans="1:2" ht="15.5" x14ac:dyDescent="0.35">
      <c r="A80"/>
      <c r="B80"/>
    </row>
    <row r="81" spans="1:2" ht="15.5" x14ac:dyDescent="0.35">
      <c r="A81"/>
      <c r="B81"/>
    </row>
    <row r="82" spans="1:2" ht="15.5" x14ac:dyDescent="0.35">
      <c r="A82"/>
      <c r="B82"/>
    </row>
    <row r="83" spans="1:2" ht="15.5" x14ac:dyDescent="0.35">
      <c r="A83"/>
      <c r="B83"/>
    </row>
    <row r="84" spans="1:2" ht="15.5" x14ac:dyDescent="0.35">
      <c r="A84"/>
      <c r="B84"/>
    </row>
    <row r="85" spans="1:2" ht="15.5" x14ac:dyDescent="0.35">
      <c r="A85"/>
      <c r="B85"/>
    </row>
    <row r="86" spans="1:2" ht="15.5" x14ac:dyDescent="0.35">
      <c r="A86"/>
      <c r="B86"/>
    </row>
    <row r="87" spans="1:2" ht="15.5" x14ac:dyDescent="0.35">
      <c r="A87"/>
      <c r="B87"/>
    </row>
    <row r="88" spans="1:2" ht="15.5" x14ac:dyDescent="0.35">
      <c r="A88"/>
      <c r="B88"/>
    </row>
    <row r="89" spans="1:2" ht="15.5" x14ac:dyDescent="0.35">
      <c r="A89"/>
      <c r="B89"/>
    </row>
    <row r="90" spans="1:2" ht="15.5" x14ac:dyDescent="0.35">
      <c r="A90"/>
      <c r="B90"/>
    </row>
    <row r="91" spans="1:2" ht="15.5" x14ac:dyDescent="0.35">
      <c r="A91"/>
      <c r="B91"/>
    </row>
    <row r="92" spans="1:2" ht="15.5" x14ac:dyDescent="0.35">
      <c r="A92"/>
      <c r="B92"/>
    </row>
    <row r="93" spans="1:2" ht="15.5" x14ac:dyDescent="0.35">
      <c r="A93"/>
      <c r="B93"/>
    </row>
    <row r="94" spans="1:2" ht="15.5" x14ac:dyDescent="0.35">
      <c r="A94"/>
      <c r="B94"/>
    </row>
    <row r="95" spans="1:2" ht="15.5" x14ac:dyDescent="0.35">
      <c r="A95"/>
      <c r="B95"/>
    </row>
    <row r="96" spans="1:2" ht="15.5" x14ac:dyDescent="0.35">
      <c r="A96"/>
      <c r="B96"/>
    </row>
    <row r="97" spans="1:2" ht="15.5" x14ac:dyDescent="0.35">
      <c r="A97"/>
      <c r="B97"/>
    </row>
    <row r="98" spans="1:2" ht="15.5" x14ac:dyDescent="0.35">
      <c r="A98"/>
      <c r="B98"/>
    </row>
    <row r="99" spans="1:2" ht="15.5" x14ac:dyDescent="0.35">
      <c r="A99"/>
      <c r="B99"/>
    </row>
    <row r="100" spans="1:2" ht="15.5" x14ac:dyDescent="0.35">
      <c r="A100"/>
      <c r="B100"/>
    </row>
    <row r="101" spans="1:2" ht="15.5" x14ac:dyDescent="0.35">
      <c r="A101"/>
      <c r="B101"/>
    </row>
    <row r="102" spans="1:2" ht="15.5" x14ac:dyDescent="0.35">
      <c r="A102"/>
      <c r="B102"/>
    </row>
    <row r="103" spans="1:2" ht="15.5" x14ac:dyDescent="0.35">
      <c r="A103"/>
      <c r="B103"/>
    </row>
    <row r="104" spans="1:2" ht="15.5" x14ac:dyDescent="0.35">
      <c r="A104"/>
      <c r="B104"/>
    </row>
    <row r="105" spans="1:2" ht="15.5" x14ac:dyDescent="0.35">
      <c r="A105"/>
      <c r="B105"/>
    </row>
    <row r="106" spans="1:2" ht="15.5" x14ac:dyDescent="0.35">
      <c r="A106"/>
      <c r="B106"/>
    </row>
    <row r="107" spans="1:2" ht="15.5" x14ac:dyDescent="0.35">
      <c r="A107"/>
      <c r="B107"/>
    </row>
    <row r="108" spans="1:2" ht="15.5" x14ac:dyDescent="0.35">
      <c r="A108"/>
      <c r="B108"/>
    </row>
    <row r="109" spans="1:2" ht="15.5" x14ac:dyDescent="0.35">
      <c r="A109"/>
      <c r="B109"/>
    </row>
    <row r="110" spans="1:2" ht="15.5" x14ac:dyDescent="0.35">
      <c r="A110"/>
      <c r="B110"/>
    </row>
    <row r="111" spans="1:2" ht="15.5" x14ac:dyDescent="0.35">
      <c r="A111"/>
      <c r="B111"/>
    </row>
    <row r="112" spans="1:2" ht="15.5" x14ac:dyDescent="0.35">
      <c r="A112"/>
      <c r="B112"/>
    </row>
    <row r="113" spans="1:2" ht="15.5" x14ac:dyDescent="0.35">
      <c r="A113"/>
      <c r="B113"/>
    </row>
    <row r="114" spans="1:2" ht="15.5" x14ac:dyDescent="0.35">
      <c r="A114"/>
      <c r="B114"/>
    </row>
    <row r="115" spans="1:2" ht="15.5" x14ac:dyDescent="0.35">
      <c r="A115"/>
      <c r="B115"/>
    </row>
    <row r="116" spans="1:2" ht="15.5" x14ac:dyDescent="0.35">
      <c r="A116"/>
      <c r="B116"/>
    </row>
    <row r="117" spans="1:2" ht="15.5" x14ac:dyDescent="0.35">
      <c r="A117"/>
      <c r="B117"/>
    </row>
    <row r="118" spans="1:2" ht="15.5" x14ac:dyDescent="0.35">
      <c r="A118"/>
      <c r="B118"/>
    </row>
    <row r="119" spans="1:2" ht="15.5" x14ac:dyDescent="0.35">
      <c r="A119"/>
      <c r="B119"/>
    </row>
    <row r="120" spans="1:2" ht="15.5" x14ac:dyDescent="0.35">
      <c r="A120"/>
      <c r="B120"/>
    </row>
    <row r="121" spans="1:2" ht="15.5" x14ac:dyDescent="0.35">
      <c r="A121"/>
      <c r="B121"/>
    </row>
    <row r="122" spans="1:2" ht="15.5" x14ac:dyDescent="0.35">
      <c r="A122"/>
      <c r="B122"/>
    </row>
    <row r="123" spans="1:2" ht="15.5" x14ac:dyDescent="0.35">
      <c r="A123"/>
      <c r="B123"/>
    </row>
    <row r="124" spans="1:2" ht="15.5" x14ac:dyDescent="0.35">
      <c r="A124"/>
      <c r="B124"/>
    </row>
    <row r="125" spans="1:2" ht="15.5" x14ac:dyDescent="0.35">
      <c r="A125"/>
      <c r="B125"/>
    </row>
    <row r="126" spans="1:2" ht="15.5" x14ac:dyDescent="0.35">
      <c r="A126"/>
      <c r="B126"/>
    </row>
    <row r="127" spans="1:2" ht="15.5" x14ac:dyDescent="0.35">
      <c r="A127"/>
      <c r="B127"/>
    </row>
    <row r="128" spans="1:2" ht="15.5" x14ac:dyDescent="0.35">
      <c r="A128"/>
      <c r="B128"/>
    </row>
    <row r="129" spans="1:2" ht="15.5" x14ac:dyDescent="0.35">
      <c r="A129"/>
      <c r="B129"/>
    </row>
    <row r="130" spans="1:2" ht="15.5" x14ac:dyDescent="0.35">
      <c r="A130"/>
      <c r="B130"/>
    </row>
    <row r="131" spans="1:2" ht="15.5" x14ac:dyDescent="0.35">
      <c r="A131"/>
      <c r="B131"/>
    </row>
    <row r="132" spans="1:2" ht="15.5" x14ac:dyDescent="0.35">
      <c r="A132"/>
      <c r="B132"/>
    </row>
    <row r="133" spans="1:2" ht="15.5" x14ac:dyDescent="0.35">
      <c r="A133"/>
      <c r="B133"/>
    </row>
    <row r="134" spans="1:2" ht="15.5" x14ac:dyDescent="0.35">
      <c r="A134"/>
      <c r="B134"/>
    </row>
    <row r="135" spans="1:2" ht="15.5" x14ac:dyDescent="0.35">
      <c r="A135"/>
      <c r="B135"/>
    </row>
    <row r="136" spans="1:2" ht="15.5" x14ac:dyDescent="0.35">
      <c r="A136"/>
      <c r="B136"/>
    </row>
    <row r="137" spans="1:2" ht="15.5" x14ac:dyDescent="0.35">
      <c r="A137"/>
      <c r="B137"/>
    </row>
    <row r="138" spans="1:2" ht="15.5" x14ac:dyDescent="0.35">
      <c r="A138"/>
      <c r="B138"/>
    </row>
    <row r="139" spans="1:2" ht="15.5" x14ac:dyDescent="0.35">
      <c r="A139"/>
      <c r="B139"/>
    </row>
    <row r="140" spans="1:2" ht="15.5" x14ac:dyDescent="0.35">
      <c r="A140"/>
      <c r="B140"/>
    </row>
    <row r="141" spans="1:2" ht="15.5" x14ac:dyDescent="0.35">
      <c r="A141"/>
      <c r="B141"/>
    </row>
    <row r="142" spans="1:2" ht="15.5" x14ac:dyDescent="0.35">
      <c r="A142"/>
      <c r="B142"/>
    </row>
    <row r="143" spans="1:2" ht="15.5" x14ac:dyDescent="0.35">
      <c r="A143"/>
      <c r="B143"/>
    </row>
    <row r="144" spans="1:2" ht="15.5" x14ac:dyDescent="0.35">
      <c r="A144"/>
      <c r="B144"/>
    </row>
    <row r="145" spans="1:2" ht="15.5" x14ac:dyDescent="0.35">
      <c r="A145"/>
      <c r="B145"/>
    </row>
    <row r="146" spans="1:2" ht="15.5" x14ac:dyDescent="0.35">
      <c r="A146"/>
      <c r="B146"/>
    </row>
    <row r="147" spans="1:2" ht="15.5" x14ac:dyDescent="0.35">
      <c r="A147"/>
      <c r="B147"/>
    </row>
    <row r="148" spans="1:2" ht="15.5" x14ac:dyDescent="0.35">
      <c r="A148"/>
      <c r="B148"/>
    </row>
    <row r="149" spans="1:2" ht="15.5" x14ac:dyDescent="0.35">
      <c r="A149"/>
      <c r="B149"/>
    </row>
    <row r="150" spans="1:2" ht="15.5" x14ac:dyDescent="0.35">
      <c r="A150"/>
      <c r="B150"/>
    </row>
    <row r="151" spans="1:2" ht="15.5" x14ac:dyDescent="0.35">
      <c r="A151"/>
      <c r="B151"/>
    </row>
    <row r="152" spans="1:2" ht="15.5" x14ac:dyDescent="0.35">
      <c r="A152"/>
      <c r="B152"/>
    </row>
    <row r="153" spans="1:2" ht="15.5" x14ac:dyDescent="0.35">
      <c r="A153"/>
      <c r="B153"/>
    </row>
    <row r="154" spans="1:2" ht="15.5" x14ac:dyDescent="0.35">
      <c r="A154"/>
      <c r="B154"/>
    </row>
    <row r="155" spans="1:2" ht="15.5" x14ac:dyDescent="0.35">
      <c r="A155"/>
      <c r="B155"/>
    </row>
    <row r="156" spans="1:2" ht="15.5" x14ac:dyDescent="0.35">
      <c r="A156"/>
      <c r="B156"/>
    </row>
    <row r="157" spans="1:2" ht="15.5" x14ac:dyDescent="0.35">
      <c r="A157"/>
      <c r="B157"/>
    </row>
    <row r="158" spans="1:2" ht="15.5" x14ac:dyDescent="0.35">
      <c r="A158"/>
      <c r="B158"/>
    </row>
    <row r="159" spans="1:2" ht="15.5" x14ac:dyDescent="0.35">
      <c r="A159"/>
      <c r="B159"/>
    </row>
    <row r="160" spans="1:2" ht="15.5" x14ac:dyDescent="0.35">
      <c r="A160"/>
      <c r="B160"/>
    </row>
    <row r="161" spans="1:2" ht="15.5" x14ac:dyDescent="0.35">
      <c r="A161"/>
      <c r="B161"/>
    </row>
    <row r="162" spans="1:2" ht="15.5" x14ac:dyDescent="0.35">
      <c r="A162"/>
      <c r="B162"/>
    </row>
    <row r="163" spans="1:2" ht="15.5" x14ac:dyDescent="0.35">
      <c r="A163"/>
      <c r="B163"/>
    </row>
    <row r="164" spans="1:2" ht="15.5" x14ac:dyDescent="0.35">
      <c r="A164"/>
      <c r="B164"/>
    </row>
    <row r="165" spans="1:2" ht="15.5" x14ac:dyDescent="0.35">
      <c r="A165"/>
      <c r="B165"/>
    </row>
    <row r="166" spans="1:2" ht="15.5" x14ac:dyDescent="0.35">
      <c r="A166"/>
      <c r="B166"/>
    </row>
    <row r="167" spans="1:2" ht="15.5" x14ac:dyDescent="0.35">
      <c r="A167"/>
      <c r="B167"/>
    </row>
    <row r="168" spans="1:2" ht="15.5" x14ac:dyDescent="0.35">
      <c r="A168"/>
      <c r="B168"/>
    </row>
    <row r="169" spans="1:2" ht="15.5" x14ac:dyDescent="0.35">
      <c r="A169"/>
      <c r="B169"/>
    </row>
    <row r="170" spans="1:2" ht="15.5" x14ac:dyDescent="0.35">
      <c r="A170"/>
      <c r="B170"/>
    </row>
    <row r="171" spans="1:2" ht="15.5" x14ac:dyDescent="0.35">
      <c r="A171"/>
      <c r="B171"/>
    </row>
    <row r="172" spans="1:2" ht="15.5" x14ac:dyDescent="0.35">
      <c r="A172"/>
      <c r="B172"/>
    </row>
    <row r="173" spans="1:2" ht="15.5" x14ac:dyDescent="0.35">
      <c r="A173"/>
      <c r="B173"/>
    </row>
    <row r="174" spans="1:2" ht="15.5" x14ac:dyDescent="0.35">
      <c r="A174"/>
      <c r="B174"/>
    </row>
    <row r="175" spans="1:2" ht="15.5" x14ac:dyDescent="0.35">
      <c r="A175"/>
      <c r="B175"/>
    </row>
    <row r="176" spans="1:2" ht="15.5" x14ac:dyDescent="0.35">
      <c r="A176"/>
      <c r="B176"/>
    </row>
    <row r="177" spans="1:2" ht="15.5" x14ac:dyDescent="0.35">
      <c r="A177"/>
      <c r="B177"/>
    </row>
    <row r="178" spans="1:2" ht="15.5" x14ac:dyDescent="0.35">
      <c r="A178"/>
      <c r="B178"/>
    </row>
    <row r="179" spans="1:2" ht="15.5" x14ac:dyDescent="0.35">
      <c r="A179"/>
      <c r="B179"/>
    </row>
    <row r="180" spans="1:2" ht="15.5" x14ac:dyDescent="0.35">
      <c r="A180"/>
      <c r="B180"/>
    </row>
    <row r="181" spans="1:2" ht="15.5" x14ac:dyDescent="0.35">
      <c r="A181"/>
      <c r="B181"/>
    </row>
    <row r="182" spans="1:2" ht="15.5" x14ac:dyDescent="0.35">
      <c r="A182"/>
      <c r="B182"/>
    </row>
    <row r="183" spans="1:2" ht="15.5" x14ac:dyDescent="0.35">
      <c r="A183"/>
      <c r="B183"/>
    </row>
    <row r="184" spans="1:2" ht="15.5" x14ac:dyDescent="0.35">
      <c r="A184"/>
      <c r="B184"/>
    </row>
    <row r="185" spans="1:2" ht="15.5" x14ac:dyDescent="0.35">
      <c r="A185"/>
      <c r="B185"/>
    </row>
    <row r="186" spans="1:2" ht="15.5" x14ac:dyDescent="0.35">
      <c r="A186"/>
      <c r="B186"/>
    </row>
  </sheetData>
  <pageMargins left="0.55000000000000004" right="0.55000000000000004" top="0.55000000000000004" bottom="0.55000000000000004" header="0.3" footer="0.3"/>
  <pageSetup scale="73" fitToHeight="0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3F2B-A86B-4CEB-B39B-63C2D8A87F66}">
  <sheetPr>
    <pageSetUpPr fitToPage="1"/>
  </sheetPr>
  <dimension ref="A1:N59"/>
  <sheetViews>
    <sheetView workbookViewId="0">
      <selection activeCell="A2" sqref="A2"/>
    </sheetView>
  </sheetViews>
  <sheetFormatPr defaultRowHeight="14.5" x14ac:dyDescent="0.35"/>
  <cols>
    <col min="1" max="1" width="17.81640625" bestFit="1" customWidth="1"/>
    <col min="2" max="2" width="10.453125" bestFit="1" customWidth="1"/>
    <col min="3" max="3" width="11.54296875" bestFit="1" customWidth="1"/>
    <col min="4" max="4" width="8.26953125" bestFit="1" customWidth="1"/>
    <col min="5" max="5" width="6.81640625" bestFit="1" customWidth="1"/>
    <col min="6" max="6" width="6" bestFit="1" customWidth="1"/>
    <col min="7" max="7" width="6.7265625" bestFit="1" customWidth="1"/>
    <col min="8" max="8" width="5.81640625" bestFit="1" customWidth="1"/>
    <col min="9" max="9" width="9.453125" bestFit="1" customWidth="1"/>
    <col min="10" max="10" width="14.1796875" bestFit="1" customWidth="1"/>
    <col min="11" max="11" width="10.453125" bestFit="1" customWidth="1"/>
    <col min="12" max="12" width="13.1796875" bestFit="1" customWidth="1"/>
    <col min="13" max="13" width="13" bestFit="1" customWidth="1"/>
    <col min="14" max="14" width="7.453125" bestFit="1" customWidth="1"/>
  </cols>
  <sheetData>
    <row r="1" spans="1:14" ht="17.5" x14ac:dyDescent="0.35">
      <c r="A1" s="2" t="str">
        <f>Parameters!$A$126</f>
        <v>TABLE 5N PERSONS KILLED IN ALCOHOL INVOLVED CRASHES BY COUNTY BY MONTH - 2021</v>
      </c>
    </row>
    <row r="3" spans="1:14" ht="15.5" x14ac:dyDescent="0.35">
      <c r="A3" s="53" t="s">
        <v>16</v>
      </c>
      <c r="B3" s="68" t="s">
        <v>16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ht="15.5" x14ac:dyDescent="0.35">
      <c r="A4" s="56" t="s">
        <v>277</v>
      </c>
      <c r="B4" s="57" t="s">
        <v>4</v>
      </c>
      <c r="C4" s="57" t="s">
        <v>5</v>
      </c>
      <c r="D4" s="57" t="s">
        <v>6</v>
      </c>
      <c r="E4" s="57" t="s">
        <v>7</v>
      </c>
      <c r="F4" s="57" t="s">
        <v>8</v>
      </c>
      <c r="G4" s="57" t="s">
        <v>9</v>
      </c>
      <c r="H4" s="57" t="s">
        <v>10</v>
      </c>
      <c r="I4" s="57" t="s">
        <v>11</v>
      </c>
      <c r="J4" s="57" t="s">
        <v>12</v>
      </c>
      <c r="K4" s="57" t="s">
        <v>13</v>
      </c>
      <c r="L4" s="57" t="s">
        <v>14</v>
      </c>
      <c r="M4" s="57" t="s">
        <v>15</v>
      </c>
      <c r="N4" s="57" t="s">
        <v>276</v>
      </c>
    </row>
    <row r="5" spans="1:14" ht="15.5" x14ac:dyDescent="0.35">
      <c r="A5" s="45" t="s">
        <v>21</v>
      </c>
      <c r="B5" s="46">
        <v>0</v>
      </c>
      <c r="C5" s="46">
        <v>5</v>
      </c>
      <c r="D5" s="46">
        <v>3</v>
      </c>
      <c r="E5" s="46">
        <v>4</v>
      </c>
      <c r="F5" s="46">
        <v>6</v>
      </c>
      <c r="G5" s="46">
        <v>2</v>
      </c>
      <c r="H5" s="46">
        <v>1</v>
      </c>
      <c r="I5" s="46">
        <v>3</v>
      </c>
      <c r="J5" s="46">
        <v>4</v>
      </c>
      <c r="K5" s="46">
        <v>2</v>
      </c>
      <c r="L5" s="46">
        <v>3</v>
      </c>
      <c r="M5" s="46">
        <v>1</v>
      </c>
      <c r="N5" s="46">
        <v>34</v>
      </c>
    </row>
    <row r="6" spans="1:14" ht="15.5" x14ac:dyDescent="0.35">
      <c r="A6" s="45" t="s">
        <v>23</v>
      </c>
      <c r="B6" s="46">
        <v>1</v>
      </c>
      <c r="C6" s="46">
        <v>1</v>
      </c>
      <c r="D6" s="46">
        <v>2</v>
      </c>
      <c r="E6" s="46">
        <v>0</v>
      </c>
      <c r="F6" s="46">
        <v>0</v>
      </c>
      <c r="G6" s="46">
        <v>3</v>
      </c>
      <c r="H6" s="46">
        <v>0</v>
      </c>
      <c r="I6" s="46">
        <v>0</v>
      </c>
      <c r="J6" s="46">
        <v>0</v>
      </c>
      <c r="K6" s="46">
        <v>1</v>
      </c>
      <c r="L6" s="46">
        <v>2</v>
      </c>
      <c r="M6" s="46">
        <v>0</v>
      </c>
      <c r="N6" s="46">
        <v>10</v>
      </c>
    </row>
    <row r="7" spans="1:14" ht="15.5" x14ac:dyDescent="0.35">
      <c r="A7" s="45" t="s">
        <v>24</v>
      </c>
      <c r="B7" s="46">
        <v>2</v>
      </c>
      <c r="C7" s="46">
        <v>3</v>
      </c>
      <c r="D7" s="46">
        <v>1</v>
      </c>
      <c r="E7" s="46">
        <v>1</v>
      </c>
      <c r="F7" s="46">
        <v>3</v>
      </c>
      <c r="G7" s="46">
        <v>1</v>
      </c>
      <c r="H7" s="46">
        <v>2</v>
      </c>
      <c r="I7" s="46">
        <v>2</v>
      </c>
      <c r="J7" s="46">
        <v>0</v>
      </c>
      <c r="K7" s="46">
        <v>0</v>
      </c>
      <c r="L7" s="46">
        <v>0</v>
      </c>
      <c r="M7" s="46">
        <v>0</v>
      </c>
      <c r="N7" s="46">
        <v>15</v>
      </c>
    </row>
    <row r="8" spans="1:14" ht="15.5" x14ac:dyDescent="0.35">
      <c r="A8" s="45" t="s">
        <v>25</v>
      </c>
      <c r="B8" s="46">
        <v>0</v>
      </c>
      <c r="C8" s="46">
        <v>1</v>
      </c>
      <c r="D8" s="46">
        <v>0</v>
      </c>
      <c r="E8" s="46">
        <v>2</v>
      </c>
      <c r="F8" s="46">
        <v>0</v>
      </c>
      <c r="G8" s="46">
        <v>1</v>
      </c>
      <c r="H8" s="46">
        <v>1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5</v>
      </c>
    </row>
    <row r="9" spans="1:14" ht="15.5" x14ac:dyDescent="0.35">
      <c r="A9" s="45" t="s">
        <v>26</v>
      </c>
      <c r="B9" s="46">
        <v>0</v>
      </c>
      <c r="C9" s="46">
        <v>0</v>
      </c>
      <c r="D9" s="46">
        <v>0</v>
      </c>
      <c r="E9" s="46">
        <v>1</v>
      </c>
      <c r="F9" s="46">
        <v>0</v>
      </c>
      <c r="G9" s="46">
        <v>0</v>
      </c>
      <c r="H9" s="46">
        <v>1</v>
      </c>
      <c r="I9" s="46">
        <v>1</v>
      </c>
      <c r="J9" s="46">
        <v>0</v>
      </c>
      <c r="K9" s="46">
        <v>0</v>
      </c>
      <c r="L9" s="46">
        <v>0</v>
      </c>
      <c r="M9" s="46">
        <v>1</v>
      </c>
      <c r="N9" s="46">
        <v>4</v>
      </c>
    </row>
    <row r="10" spans="1:14" ht="15.5" x14ac:dyDescent="0.35">
      <c r="A10" s="45" t="s">
        <v>27</v>
      </c>
      <c r="B10" s="46">
        <v>6</v>
      </c>
      <c r="C10" s="46">
        <v>3</v>
      </c>
      <c r="D10" s="46">
        <v>1</v>
      </c>
      <c r="E10" s="46">
        <v>2</v>
      </c>
      <c r="F10" s="46">
        <v>2</v>
      </c>
      <c r="G10" s="46">
        <v>1</v>
      </c>
      <c r="H10" s="46">
        <v>3</v>
      </c>
      <c r="I10" s="46">
        <v>1</v>
      </c>
      <c r="J10" s="46">
        <v>3</v>
      </c>
      <c r="K10" s="46">
        <v>3</v>
      </c>
      <c r="L10" s="46">
        <v>2</v>
      </c>
      <c r="M10" s="46">
        <v>5</v>
      </c>
      <c r="N10" s="46">
        <v>32</v>
      </c>
    </row>
    <row r="11" spans="1:14" ht="15.5" x14ac:dyDescent="0.35">
      <c r="A11" s="45" t="s">
        <v>29</v>
      </c>
      <c r="B11" s="46">
        <v>2</v>
      </c>
      <c r="C11" s="46">
        <v>3</v>
      </c>
      <c r="D11" s="46">
        <v>0</v>
      </c>
      <c r="E11" s="46">
        <v>1</v>
      </c>
      <c r="F11" s="46">
        <v>3</v>
      </c>
      <c r="G11" s="46">
        <v>2</v>
      </c>
      <c r="H11" s="46">
        <v>2</v>
      </c>
      <c r="I11" s="46">
        <v>0</v>
      </c>
      <c r="J11" s="46">
        <v>1</v>
      </c>
      <c r="K11" s="46">
        <v>0</v>
      </c>
      <c r="L11" s="46">
        <v>0</v>
      </c>
      <c r="M11" s="46">
        <v>0</v>
      </c>
      <c r="N11" s="46">
        <v>14</v>
      </c>
    </row>
    <row r="12" spans="1:14" ht="15.5" x14ac:dyDescent="0.35">
      <c r="A12" s="45" t="s">
        <v>30</v>
      </c>
      <c r="B12" s="46">
        <v>14</v>
      </c>
      <c r="C12" s="46">
        <v>5</v>
      </c>
      <c r="D12" s="46">
        <v>8</v>
      </c>
      <c r="E12" s="46">
        <v>2</v>
      </c>
      <c r="F12" s="46">
        <v>7</v>
      </c>
      <c r="G12" s="46">
        <v>2</v>
      </c>
      <c r="H12" s="46">
        <v>7</v>
      </c>
      <c r="I12" s="46">
        <v>8</v>
      </c>
      <c r="J12" s="46">
        <v>6</v>
      </c>
      <c r="K12" s="46">
        <v>3</v>
      </c>
      <c r="L12" s="46">
        <v>3</v>
      </c>
      <c r="M12" s="46">
        <v>2</v>
      </c>
      <c r="N12" s="46">
        <v>67</v>
      </c>
    </row>
    <row r="13" spans="1:14" ht="15.5" x14ac:dyDescent="0.35">
      <c r="A13" s="45" t="s">
        <v>31</v>
      </c>
      <c r="B13" s="46">
        <v>0</v>
      </c>
      <c r="C13" s="46">
        <v>1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1</v>
      </c>
    </row>
    <row r="14" spans="1:14" ht="15.5" x14ac:dyDescent="0.35">
      <c r="A14" s="45" t="s">
        <v>32</v>
      </c>
      <c r="B14" s="46">
        <v>1</v>
      </c>
      <c r="C14" s="46">
        <v>1</v>
      </c>
      <c r="D14" s="46">
        <v>0</v>
      </c>
      <c r="E14" s="46">
        <v>1</v>
      </c>
      <c r="F14" s="46">
        <v>1</v>
      </c>
      <c r="G14" s="46">
        <v>0</v>
      </c>
      <c r="H14" s="46">
        <v>0</v>
      </c>
      <c r="I14" s="46">
        <v>0</v>
      </c>
      <c r="J14" s="46">
        <v>1</v>
      </c>
      <c r="K14" s="46">
        <v>0</v>
      </c>
      <c r="L14" s="46">
        <v>1</v>
      </c>
      <c r="M14" s="46">
        <v>1</v>
      </c>
      <c r="N14" s="46">
        <v>7</v>
      </c>
    </row>
    <row r="15" spans="1:14" ht="15.5" x14ac:dyDescent="0.35">
      <c r="A15" s="45" t="s">
        <v>33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v>3</v>
      </c>
      <c r="H15" s="46">
        <v>1</v>
      </c>
      <c r="I15" s="46">
        <v>1</v>
      </c>
      <c r="J15" s="46">
        <v>1</v>
      </c>
      <c r="K15" s="46">
        <v>0</v>
      </c>
      <c r="L15" s="46">
        <v>1</v>
      </c>
      <c r="M15" s="46">
        <v>1</v>
      </c>
      <c r="N15" s="46">
        <v>8</v>
      </c>
    </row>
    <row r="16" spans="1:14" ht="15.5" x14ac:dyDescent="0.35">
      <c r="A16" s="45" t="s">
        <v>34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1</v>
      </c>
      <c r="L16" s="46">
        <v>0</v>
      </c>
      <c r="M16" s="46">
        <v>0</v>
      </c>
      <c r="N16" s="46">
        <v>1</v>
      </c>
    </row>
    <row r="17" spans="1:14" ht="15.5" x14ac:dyDescent="0.35">
      <c r="A17" s="45" t="s">
        <v>35</v>
      </c>
      <c r="B17" s="46">
        <v>7</v>
      </c>
      <c r="C17" s="46">
        <v>1</v>
      </c>
      <c r="D17" s="46">
        <v>3</v>
      </c>
      <c r="E17" s="46">
        <v>4</v>
      </c>
      <c r="F17" s="46">
        <v>3</v>
      </c>
      <c r="G17" s="46">
        <v>3</v>
      </c>
      <c r="H17" s="46">
        <v>5</v>
      </c>
      <c r="I17" s="46">
        <v>5</v>
      </c>
      <c r="J17" s="46">
        <v>5</v>
      </c>
      <c r="K17" s="46">
        <v>10</v>
      </c>
      <c r="L17" s="46">
        <v>12</v>
      </c>
      <c r="M17" s="46">
        <v>6</v>
      </c>
      <c r="N17" s="46">
        <v>64</v>
      </c>
    </row>
    <row r="18" spans="1:14" ht="15.5" x14ac:dyDescent="0.35">
      <c r="A18" s="45" t="s">
        <v>36</v>
      </c>
      <c r="B18" s="46">
        <v>1</v>
      </c>
      <c r="C18" s="46">
        <v>0</v>
      </c>
      <c r="D18" s="46">
        <v>2</v>
      </c>
      <c r="E18" s="46">
        <v>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1</v>
      </c>
      <c r="L18" s="46">
        <v>0</v>
      </c>
      <c r="M18" s="46">
        <v>0</v>
      </c>
      <c r="N18" s="46">
        <v>7</v>
      </c>
    </row>
    <row r="19" spans="1:14" ht="15.5" x14ac:dyDescent="0.35">
      <c r="A19" s="45" t="s">
        <v>37</v>
      </c>
      <c r="B19" s="46">
        <v>1</v>
      </c>
      <c r="C19" s="46">
        <v>0</v>
      </c>
      <c r="D19" s="46">
        <v>2</v>
      </c>
      <c r="E19" s="46">
        <v>0</v>
      </c>
      <c r="F19" s="46">
        <v>0</v>
      </c>
      <c r="G19" s="46">
        <v>0</v>
      </c>
      <c r="H19" s="46">
        <v>1</v>
      </c>
      <c r="I19" s="46">
        <v>1</v>
      </c>
      <c r="J19" s="46">
        <v>1</v>
      </c>
      <c r="K19" s="46">
        <v>3</v>
      </c>
      <c r="L19" s="46">
        <v>0</v>
      </c>
      <c r="M19" s="46">
        <v>0</v>
      </c>
      <c r="N19" s="46">
        <v>9</v>
      </c>
    </row>
    <row r="20" spans="1:14" ht="15.5" x14ac:dyDescent="0.35">
      <c r="A20" s="45" t="s">
        <v>38</v>
      </c>
      <c r="B20" s="46">
        <v>0</v>
      </c>
      <c r="C20" s="46">
        <v>1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</v>
      </c>
      <c r="J20" s="46">
        <v>0</v>
      </c>
      <c r="K20" s="46">
        <v>0</v>
      </c>
      <c r="L20" s="46">
        <v>0</v>
      </c>
      <c r="M20" s="46">
        <v>0</v>
      </c>
      <c r="N20" s="46">
        <v>2</v>
      </c>
    </row>
    <row r="21" spans="1:14" ht="15.5" x14ac:dyDescent="0.35">
      <c r="A21" s="45" t="s">
        <v>39</v>
      </c>
      <c r="B21" s="46">
        <v>10</v>
      </c>
      <c r="C21" s="46">
        <v>8</v>
      </c>
      <c r="D21" s="46">
        <v>22</v>
      </c>
      <c r="E21" s="46">
        <v>13</v>
      </c>
      <c r="F21" s="46">
        <v>17</v>
      </c>
      <c r="G21" s="46">
        <v>13</v>
      </c>
      <c r="H21" s="46">
        <v>14</v>
      </c>
      <c r="I21" s="46">
        <v>16</v>
      </c>
      <c r="J21" s="46">
        <v>13</v>
      </c>
      <c r="K21" s="46">
        <v>13</v>
      </c>
      <c r="L21" s="46">
        <v>11</v>
      </c>
      <c r="M21" s="46">
        <v>14</v>
      </c>
      <c r="N21" s="46">
        <v>164</v>
      </c>
    </row>
    <row r="22" spans="1:14" ht="15.5" x14ac:dyDescent="0.35">
      <c r="A22" s="45" t="s">
        <v>40</v>
      </c>
      <c r="B22" s="46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1</v>
      </c>
      <c r="I22" s="46">
        <v>2</v>
      </c>
      <c r="J22" s="46">
        <v>0</v>
      </c>
      <c r="K22" s="46">
        <v>2</v>
      </c>
      <c r="L22" s="46">
        <v>3</v>
      </c>
      <c r="M22" s="46">
        <v>1</v>
      </c>
      <c r="N22" s="46">
        <v>9</v>
      </c>
    </row>
    <row r="23" spans="1:14" ht="15.5" x14ac:dyDescent="0.35">
      <c r="A23" s="45" t="s">
        <v>41</v>
      </c>
      <c r="B23" s="46">
        <v>1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</v>
      </c>
      <c r="J23" s="46">
        <v>0</v>
      </c>
      <c r="K23" s="46">
        <v>0</v>
      </c>
      <c r="L23" s="46">
        <v>0</v>
      </c>
      <c r="M23" s="46">
        <v>0</v>
      </c>
      <c r="N23" s="46">
        <v>2</v>
      </c>
    </row>
    <row r="24" spans="1:14" ht="15.5" x14ac:dyDescent="0.35">
      <c r="A24" s="45" t="s">
        <v>43</v>
      </c>
      <c r="B24" s="46">
        <v>0</v>
      </c>
      <c r="C24" s="46">
        <v>0</v>
      </c>
      <c r="D24" s="46">
        <v>0</v>
      </c>
      <c r="E24" s="46">
        <v>0</v>
      </c>
      <c r="F24" s="46">
        <v>1</v>
      </c>
      <c r="G24" s="46">
        <v>0</v>
      </c>
      <c r="H24" s="46">
        <v>0</v>
      </c>
      <c r="I24" s="46">
        <v>0</v>
      </c>
      <c r="J24" s="46">
        <v>1</v>
      </c>
      <c r="K24" s="46">
        <v>0</v>
      </c>
      <c r="L24" s="46">
        <v>2</v>
      </c>
      <c r="M24" s="46">
        <v>1</v>
      </c>
      <c r="N24" s="46">
        <v>5</v>
      </c>
    </row>
    <row r="25" spans="1:14" ht="15.5" x14ac:dyDescent="0.35">
      <c r="A25" s="45" t="s">
        <v>44</v>
      </c>
      <c r="B25" s="46">
        <v>1</v>
      </c>
      <c r="C25" s="46">
        <v>1</v>
      </c>
      <c r="D25" s="46">
        <v>1</v>
      </c>
      <c r="E25" s="46">
        <v>1</v>
      </c>
      <c r="F25" s="46">
        <v>4</v>
      </c>
      <c r="G25" s="46">
        <v>3</v>
      </c>
      <c r="H25" s="46">
        <v>0</v>
      </c>
      <c r="I25" s="46">
        <v>0</v>
      </c>
      <c r="J25" s="46">
        <v>3</v>
      </c>
      <c r="K25" s="46">
        <v>3</v>
      </c>
      <c r="L25" s="46">
        <v>5</v>
      </c>
      <c r="M25" s="46">
        <v>0</v>
      </c>
      <c r="N25" s="46">
        <v>22</v>
      </c>
    </row>
    <row r="26" spans="1:14" ht="15.5" x14ac:dyDescent="0.35">
      <c r="A26" s="45" t="s">
        <v>45</v>
      </c>
      <c r="B26" s="46">
        <v>0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1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1</v>
      </c>
    </row>
    <row r="27" spans="1:14" ht="15.5" x14ac:dyDescent="0.35">
      <c r="A27" s="45" t="s">
        <v>46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2</v>
      </c>
      <c r="N27" s="46">
        <v>2</v>
      </c>
    </row>
    <row r="28" spans="1:14" ht="15.5" x14ac:dyDescent="0.35">
      <c r="A28" s="45" t="s">
        <v>47</v>
      </c>
      <c r="B28" s="46">
        <v>1</v>
      </c>
      <c r="C28" s="46">
        <v>2</v>
      </c>
      <c r="D28" s="46">
        <v>1</v>
      </c>
      <c r="E28" s="46">
        <v>3</v>
      </c>
      <c r="F28" s="46">
        <v>4</v>
      </c>
      <c r="G28" s="46">
        <v>4</v>
      </c>
      <c r="H28" s="46">
        <v>3</v>
      </c>
      <c r="I28" s="46">
        <v>1</v>
      </c>
      <c r="J28" s="46">
        <v>1</v>
      </c>
      <c r="K28" s="46">
        <v>2</v>
      </c>
      <c r="L28" s="46">
        <v>0</v>
      </c>
      <c r="M28" s="46">
        <v>1</v>
      </c>
      <c r="N28" s="46">
        <v>23</v>
      </c>
    </row>
    <row r="29" spans="1:14" ht="15.5" x14ac:dyDescent="0.35">
      <c r="A29" s="45" t="s">
        <v>48</v>
      </c>
      <c r="B29" s="46">
        <v>0</v>
      </c>
      <c r="C29" s="46">
        <v>0</v>
      </c>
      <c r="D29" s="46">
        <v>1</v>
      </c>
      <c r="E29" s="46">
        <v>0</v>
      </c>
      <c r="F29" s="46">
        <v>1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2</v>
      </c>
    </row>
    <row r="30" spans="1:14" ht="15.5" x14ac:dyDescent="0.35">
      <c r="A30" s="45" t="s">
        <v>49</v>
      </c>
      <c r="B30" s="46">
        <v>0</v>
      </c>
      <c r="C30" s="46">
        <v>0</v>
      </c>
      <c r="D30" s="46">
        <v>0</v>
      </c>
      <c r="E30" s="46">
        <v>1</v>
      </c>
      <c r="F30" s="46">
        <v>0</v>
      </c>
      <c r="G30" s="46">
        <v>0</v>
      </c>
      <c r="H30" s="46">
        <v>0</v>
      </c>
      <c r="I30" s="46">
        <v>0</v>
      </c>
      <c r="J30" s="46">
        <v>1</v>
      </c>
      <c r="K30" s="46">
        <v>1</v>
      </c>
      <c r="L30" s="46">
        <v>4</v>
      </c>
      <c r="M30" s="46">
        <v>0</v>
      </c>
      <c r="N30" s="46">
        <v>7</v>
      </c>
    </row>
    <row r="31" spans="1:14" ht="15.5" x14ac:dyDescent="0.35">
      <c r="A31" s="45" t="s">
        <v>50</v>
      </c>
      <c r="B31" s="46">
        <v>9</v>
      </c>
      <c r="C31" s="46">
        <v>6</v>
      </c>
      <c r="D31" s="46">
        <v>8</v>
      </c>
      <c r="E31" s="46">
        <v>5</v>
      </c>
      <c r="F31" s="46">
        <v>6</v>
      </c>
      <c r="G31" s="46">
        <v>4</v>
      </c>
      <c r="H31" s="46">
        <v>7</v>
      </c>
      <c r="I31" s="46">
        <v>5</v>
      </c>
      <c r="J31" s="46">
        <v>4</v>
      </c>
      <c r="K31" s="46">
        <v>9</v>
      </c>
      <c r="L31" s="46">
        <v>11</v>
      </c>
      <c r="M31" s="46">
        <v>5</v>
      </c>
      <c r="N31" s="46">
        <v>79</v>
      </c>
    </row>
    <row r="32" spans="1:14" ht="15.5" x14ac:dyDescent="0.35">
      <c r="A32" s="45" t="s">
        <v>51</v>
      </c>
      <c r="B32" s="46">
        <v>0</v>
      </c>
      <c r="C32" s="46">
        <v>1</v>
      </c>
      <c r="D32" s="46">
        <v>0</v>
      </c>
      <c r="E32" s="46">
        <v>3</v>
      </c>
      <c r="F32" s="46">
        <v>0</v>
      </c>
      <c r="G32" s="46">
        <v>1</v>
      </c>
      <c r="H32" s="46">
        <v>1</v>
      </c>
      <c r="I32" s="46">
        <v>0</v>
      </c>
      <c r="J32" s="46">
        <v>3</v>
      </c>
      <c r="K32" s="46">
        <v>0</v>
      </c>
      <c r="L32" s="46">
        <v>1</v>
      </c>
      <c r="M32" s="46">
        <v>0</v>
      </c>
      <c r="N32" s="46">
        <v>10</v>
      </c>
    </row>
    <row r="33" spans="1:14" ht="15.5" x14ac:dyDescent="0.35">
      <c r="A33" s="45" t="s">
        <v>52</v>
      </c>
      <c r="B33" s="46">
        <v>0</v>
      </c>
      <c r="C33" s="46">
        <v>0</v>
      </c>
      <c r="D33" s="46">
        <v>0</v>
      </c>
      <c r="E33" s="46">
        <v>0</v>
      </c>
      <c r="F33" s="46">
        <v>0</v>
      </c>
      <c r="G33" s="46">
        <v>0</v>
      </c>
      <c r="H33" s="46">
        <v>1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1</v>
      </c>
    </row>
    <row r="34" spans="1:14" ht="15.5" x14ac:dyDescent="0.35">
      <c r="A34" s="45" t="s">
        <v>53</v>
      </c>
      <c r="B34" s="46">
        <v>6</v>
      </c>
      <c r="C34" s="46">
        <v>9</v>
      </c>
      <c r="D34" s="46">
        <v>9</v>
      </c>
      <c r="E34" s="46">
        <v>13</v>
      </c>
      <c r="F34" s="46">
        <v>10</v>
      </c>
      <c r="G34" s="46">
        <v>10</v>
      </c>
      <c r="H34" s="46">
        <v>6</v>
      </c>
      <c r="I34" s="46">
        <v>12</v>
      </c>
      <c r="J34" s="46">
        <v>9</v>
      </c>
      <c r="K34" s="46">
        <v>8</v>
      </c>
      <c r="L34" s="46">
        <v>5</v>
      </c>
      <c r="M34" s="46">
        <v>9</v>
      </c>
      <c r="N34" s="46">
        <v>106</v>
      </c>
    </row>
    <row r="35" spans="1:14" ht="15.5" x14ac:dyDescent="0.35">
      <c r="A35" s="45" t="s">
        <v>54</v>
      </c>
      <c r="B35" s="46">
        <v>6</v>
      </c>
      <c r="C35" s="46">
        <v>7</v>
      </c>
      <c r="D35" s="46">
        <v>6</v>
      </c>
      <c r="E35" s="46">
        <v>2</v>
      </c>
      <c r="F35" s="46">
        <v>6</v>
      </c>
      <c r="G35" s="46">
        <v>4</v>
      </c>
      <c r="H35" s="46">
        <v>5</v>
      </c>
      <c r="I35" s="46">
        <v>4</v>
      </c>
      <c r="J35" s="46">
        <v>3</v>
      </c>
      <c r="K35" s="46">
        <v>9</v>
      </c>
      <c r="L35" s="46">
        <v>8</v>
      </c>
      <c r="M35" s="46">
        <v>4</v>
      </c>
      <c r="N35" s="46">
        <v>64</v>
      </c>
    </row>
    <row r="36" spans="1:14" ht="15.5" x14ac:dyDescent="0.35">
      <c r="A36" s="45" t="s">
        <v>55</v>
      </c>
      <c r="B36" s="46">
        <v>1</v>
      </c>
      <c r="C36" s="46">
        <v>0</v>
      </c>
      <c r="D36" s="46">
        <v>0</v>
      </c>
      <c r="E36" s="46">
        <v>0</v>
      </c>
      <c r="F36" s="46">
        <v>0</v>
      </c>
      <c r="G36" s="46">
        <v>1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2</v>
      </c>
    </row>
    <row r="37" spans="1:14" ht="15.5" x14ac:dyDescent="0.35">
      <c r="A37" s="45" t="s">
        <v>56</v>
      </c>
      <c r="B37" s="46">
        <v>18</v>
      </c>
      <c r="C37" s="46">
        <v>3</v>
      </c>
      <c r="D37" s="46">
        <v>9</v>
      </c>
      <c r="E37" s="46">
        <v>19</v>
      </c>
      <c r="F37" s="46">
        <v>10</v>
      </c>
      <c r="G37" s="46">
        <v>10</v>
      </c>
      <c r="H37" s="46">
        <v>17</v>
      </c>
      <c r="I37" s="46">
        <v>10</v>
      </c>
      <c r="J37" s="46">
        <v>5</v>
      </c>
      <c r="K37" s="46">
        <v>12</v>
      </c>
      <c r="L37" s="46">
        <v>6</v>
      </c>
      <c r="M37" s="46">
        <v>11</v>
      </c>
      <c r="N37" s="46">
        <v>130</v>
      </c>
    </row>
    <row r="38" spans="1:14" ht="15.5" x14ac:dyDescent="0.35">
      <c r="A38" s="45" t="s">
        <v>57</v>
      </c>
      <c r="B38" s="46">
        <v>6</v>
      </c>
      <c r="C38" s="46">
        <v>10</v>
      </c>
      <c r="D38" s="46">
        <v>11</v>
      </c>
      <c r="E38" s="46">
        <v>8</v>
      </c>
      <c r="F38" s="46">
        <v>5</v>
      </c>
      <c r="G38" s="46">
        <v>9</v>
      </c>
      <c r="H38" s="46">
        <v>11</v>
      </c>
      <c r="I38" s="46">
        <v>10</v>
      </c>
      <c r="J38" s="46">
        <v>11</v>
      </c>
      <c r="K38" s="46">
        <v>5</v>
      </c>
      <c r="L38" s="46">
        <v>11</v>
      </c>
      <c r="M38" s="46">
        <v>9</v>
      </c>
      <c r="N38" s="46">
        <v>106</v>
      </c>
    </row>
    <row r="39" spans="1:14" ht="15.5" x14ac:dyDescent="0.35">
      <c r="A39" s="45" t="s">
        <v>58</v>
      </c>
      <c r="B39" s="46">
        <v>2</v>
      </c>
      <c r="C39" s="46">
        <v>1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1</v>
      </c>
      <c r="K39" s="46">
        <v>1</v>
      </c>
      <c r="L39" s="46">
        <v>3</v>
      </c>
      <c r="M39" s="46">
        <v>0</v>
      </c>
      <c r="N39" s="46">
        <v>8</v>
      </c>
    </row>
    <row r="40" spans="1:14" ht="15.5" x14ac:dyDescent="0.35">
      <c r="A40" s="45" t="s">
        <v>59</v>
      </c>
      <c r="B40" s="46">
        <v>2</v>
      </c>
      <c r="C40" s="46">
        <v>2</v>
      </c>
      <c r="D40" s="46">
        <v>6</v>
      </c>
      <c r="E40" s="46">
        <v>1</v>
      </c>
      <c r="F40" s="46">
        <v>9</v>
      </c>
      <c r="G40" s="46">
        <v>4</v>
      </c>
      <c r="H40" s="46">
        <v>6</v>
      </c>
      <c r="I40" s="46">
        <v>5</v>
      </c>
      <c r="J40" s="46">
        <v>0</v>
      </c>
      <c r="K40" s="46">
        <v>5</v>
      </c>
      <c r="L40" s="46">
        <v>4</v>
      </c>
      <c r="M40" s="46">
        <v>6</v>
      </c>
      <c r="N40" s="46">
        <v>50</v>
      </c>
    </row>
    <row r="41" spans="1:14" ht="15.5" x14ac:dyDescent="0.35">
      <c r="A41" s="45" t="s">
        <v>60</v>
      </c>
      <c r="B41" s="46">
        <v>0</v>
      </c>
      <c r="C41" s="46">
        <v>0</v>
      </c>
      <c r="D41" s="46">
        <v>2</v>
      </c>
      <c r="E41" s="46">
        <v>0</v>
      </c>
      <c r="F41" s="46">
        <v>0</v>
      </c>
      <c r="G41" s="46">
        <v>0</v>
      </c>
      <c r="H41" s="46">
        <v>4</v>
      </c>
      <c r="I41" s="46">
        <v>1</v>
      </c>
      <c r="J41" s="46">
        <v>2</v>
      </c>
      <c r="K41" s="46">
        <v>0</v>
      </c>
      <c r="L41" s="46">
        <v>0</v>
      </c>
      <c r="M41" s="46">
        <v>0</v>
      </c>
      <c r="N41" s="46">
        <v>9</v>
      </c>
    </row>
    <row r="42" spans="1:14" ht="15.5" x14ac:dyDescent="0.35">
      <c r="A42" s="45" t="s">
        <v>61</v>
      </c>
      <c r="B42" s="46">
        <v>0</v>
      </c>
      <c r="C42" s="46">
        <v>2</v>
      </c>
      <c r="D42" s="46">
        <v>1</v>
      </c>
      <c r="E42" s="46">
        <v>0</v>
      </c>
      <c r="F42" s="46">
        <v>1</v>
      </c>
      <c r="G42" s="46">
        <v>0</v>
      </c>
      <c r="H42" s="46">
        <v>0</v>
      </c>
      <c r="I42" s="46">
        <v>1</v>
      </c>
      <c r="J42" s="46">
        <v>1</v>
      </c>
      <c r="K42" s="46">
        <v>2</v>
      </c>
      <c r="L42" s="46">
        <v>0</v>
      </c>
      <c r="M42" s="46">
        <v>0</v>
      </c>
      <c r="N42" s="46">
        <v>8</v>
      </c>
    </row>
    <row r="43" spans="1:14" ht="15.5" x14ac:dyDescent="0.35">
      <c r="A43" s="45" t="s">
        <v>62</v>
      </c>
      <c r="B43" s="46">
        <v>1</v>
      </c>
      <c r="C43" s="46">
        <v>0</v>
      </c>
      <c r="D43" s="46">
        <v>0</v>
      </c>
      <c r="E43" s="46">
        <v>0</v>
      </c>
      <c r="F43" s="46">
        <v>0</v>
      </c>
      <c r="G43" s="46">
        <v>3</v>
      </c>
      <c r="H43" s="46">
        <v>2</v>
      </c>
      <c r="I43" s="46">
        <v>1</v>
      </c>
      <c r="J43" s="46">
        <v>0</v>
      </c>
      <c r="K43" s="46">
        <v>3</v>
      </c>
      <c r="L43" s="46">
        <v>2</v>
      </c>
      <c r="M43" s="46">
        <v>1</v>
      </c>
      <c r="N43" s="46">
        <v>13</v>
      </c>
    </row>
    <row r="44" spans="1:14" ht="15.5" x14ac:dyDescent="0.35">
      <c r="A44" s="45" t="s">
        <v>63</v>
      </c>
      <c r="B44" s="46">
        <v>1</v>
      </c>
      <c r="C44" s="46">
        <v>2</v>
      </c>
      <c r="D44" s="46">
        <v>5</v>
      </c>
      <c r="E44" s="46">
        <v>1</v>
      </c>
      <c r="F44" s="46">
        <v>7</v>
      </c>
      <c r="G44" s="46">
        <v>3</v>
      </c>
      <c r="H44" s="46">
        <v>5</v>
      </c>
      <c r="I44" s="46">
        <v>5</v>
      </c>
      <c r="J44" s="46">
        <v>1</v>
      </c>
      <c r="K44" s="46">
        <v>4</v>
      </c>
      <c r="L44" s="46">
        <v>4</v>
      </c>
      <c r="M44" s="46">
        <v>2</v>
      </c>
      <c r="N44" s="46">
        <v>40</v>
      </c>
    </row>
    <row r="45" spans="1:14" ht="15.5" x14ac:dyDescent="0.35">
      <c r="A45" s="45" t="s">
        <v>64</v>
      </c>
      <c r="B45" s="46">
        <v>2</v>
      </c>
      <c r="C45" s="46">
        <v>1</v>
      </c>
      <c r="D45" s="46">
        <v>1</v>
      </c>
      <c r="E45" s="46">
        <v>0</v>
      </c>
      <c r="F45" s="46">
        <v>4</v>
      </c>
      <c r="G45" s="46">
        <v>1</v>
      </c>
      <c r="H45" s="46">
        <v>1</v>
      </c>
      <c r="I45" s="46">
        <v>0</v>
      </c>
      <c r="J45" s="46">
        <v>0</v>
      </c>
      <c r="K45" s="46">
        <v>0</v>
      </c>
      <c r="L45" s="46">
        <v>0</v>
      </c>
      <c r="M45" s="46">
        <v>2</v>
      </c>
      <c r="N45" s="46">
        <v>12</v>
      </c>
    </row>
    <row r="46" spans="1:14" ht="15.5" x14ac:dyDescent="0.35">
      <c r="A46" s="45" t="s">
        <v>65</v>
      </c>
      <c r="B46" s="46">
        <v>1</v>
      </c>
      <c r="C46" s="46">
        <v>0</v>
      </c>
      <c r="D46" s="46">
        <v>0</v>
      </c>
      <c r="E46" s="46">
        <v>1</v>
      </c>
      <c r="F46" s="46">
        <v>0</v>
      </c>
      <c r="G46" s="46">
        <v>1</v>
      </c>
      <c r="H46" s="46">
        <v>0</v>
      </c>
      <c r="I46" s="46">
        <v>3</v>
      </c>
      <c r="J46" s="46">
        <v>1</v>
      </c>
      <c r="K46" s="46">
        <v>1</v>
      </c>
      <c r="L46" s="46">
        <v>2</v>
      </c>
      <c r="M46" s="46">
        <v>0</v>
      </c>
      <c r="N46" s="46">
        <v>10</v>
      </c>
    </row>
    <row r="47" spans="1:14" ht="15.5" x14ac:dyDescent="0.35">
      <c r="A47" s="45" t="s">
        <v>67</v>
      </c>
      <c r="B47" s="46">
        <v>3</v>
      </c>
      <c r="C47" s="46">
        <v>2</v>
      </c>
      <c r="D47" s="46">
        <v>0</v>
      </c>
      <c r="E47" s="46">
        <v>1</v>
      </c>
      <c r="F47" s="46">
        <v>1</v>
      </c>
      <c r="G47" s="46">
        <v>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9</v>
      </c>
    </row>
    <row r="48" spans="1:14" ht="15.5" x14ac:dyDescent="0.35">
      <c r="A48" s="45" t="s">
        <v>68</v>
      </c>
      <c r="B48" s="46">
        <v>0</v>
      </c>
      <c r="C48" s="46">
        <v>0</v>
      </c>
      <c r="D48" s="46">
        <v>2</v>
      </c>
      <c r="E48" s="46">
        <v>3</v>
      </c>
      <c r="F48" s="46">
        <v>0</v>
      </c>
      <c r="G48" s="46">
        <v>0</v>
      </c>
      <c r="H48" s="46">
        <v>2</v>
      </c>
      <c r="I48" s="46">
        <v>0</v>
      </c>
      <c r="J48" s="46">
        <v>0</v>
      </c>
      <c r="K48" s="46">
        <v>2</v>
      </c>
      <c r="L48" s="46">
        <v>1</v>
      </c>
      <c r="M48" s="46">
        <v>0</v>
      </c>
      <c r="N48" s="46">
        <v>10</v>
      </c>
    </row>
    <row r="49" spans="1:14" ht="15.5" x14ac:dyDescent="0.35">
      <c r="A49" s="45" t="s">
        <v>69</v>
      </c>
      <c r="B49" s="46">
        <v>1</v>
      </c>
      <c r="C49" s="46">
        <v>0</v>
      </c>
      <c r="D49" s="46">
        <v>1</v>
      </c>
      <c r="E49" s="46">
        <v>3</v>
      </c>
      <c r="F49" s="46">
        <v>2</v>
      </c>
      <c r="G49" s="46">
        <v>2</v>
      </c>
      <c r="H49" s="46">
        <v>0</v>
      </c>
      <c r="I49" s="46">
        <v>2</v>
      </c>
      <c r="J49" s="46">
        <v>0</v>
      </c>
      <c r="K49" s="46">
        <v>4</v>
      </c>
      <c r="L49" s="46">
        <v>2</v>
      </c>
      <c r="M49" s="46">
        <v>2</v>
      </c>
      <c r="N49" s="46">
        <v>19</v>
      </c>
    </row>
    <row r="50" spans="1:14" ht="15.5" x14ac:dyDescent="0.35">
      <c r="A50" s="45" t="s">
        <v>70</v>
      </c>
      <c r="B50" s="46">
        <v>1</v>
      </c>
      <c r="C50" s="46">
        <v>3</v>
      </c>
      <c r="D50" s="46">
        <v>4</v>
      </c>
      <c r="E50" s="46">
        <v>3</v>
      </c>
      <c r="F50" s="46">
        <v>4</v>
      </c>
      <c r="G50" s="46">
        <v>8</v>
      </c>
      <c r="H50" s="46">
        <v>3</v>
      </c>
      <c r="I50" s="46">
        <v>6</v>
      </c>
      <c r="J50" s="46">
        <v>4</v>
      </c>
      <c r="K50" s="46">
        <v>1</v>
      </c>
      <c r="L50" s="46">
        <v>5</v>
      </c>
      <c r="M50" s="46">
        <v>4</v>
      </c>
      <c r="N50" s="46">
        <v>46</v>
      </c>
    </row>
    <row r="51" spans="1:14" ht="15.5" x14ac:dyDescent="0.35">
      <c r="A51" s="45" t="s">
        <v>71</v>
      </c>
      <c r="B51" s="46">
        <v>0</v>
      </c>
      <c r="C51" s="46">
        <v>0</v>
      </c>
      <c r="D51" s="46">
        <v>0</v>
      </c>
      <c r="E51" s="46">
        <v>2</v>
      </c>
      <c r="F51" s="46">
        <v>1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2</v>
      </c>
      <c r="M51" s="46">
        <v>0</v>
      </c>
      <c r="N51" s="46">
        <v>5</v>
      </c>
    </row>
    <row r="52" spans="1:14" ht="15.5" x14ac:dyDescent="0.35">
      <c r="A52" s="45" t="s">
        <v>72</v>
      </c>
      <c r="B52" s="46">
        <v>0</v>
      </c>
      <c r="C52" s="46">
        <v>0</v>
      </c>
      <c r="D52" s="46">
        <v>0</v>
      </c>
      <c r="E52" s="46">
        <v>0</v>
      </c>
      <c r="F52" s="46">
        <v>1</v>
      </c>
      <c r="G52" s="46">
        <v>0</v>
      </c>
      <c r="H52" s="46">
        <v>0</v>
      </c>
      <c r="I52" s="46">
        <v>1</v>
      </c>
      <c r="J52" s="46">
        <v>0</v>
      </c>
      <c r="K52" s="46">
        <v>1</v>
      </c>
      <c r="L52" s="46">
        <v>1</v>
      </c>
      <c r="M52" s="46">
        <v>0</v>
      </c>
      <c r="N52" s="46">
        <v>4</v>
      </c>
    </row>
    <row r="53" spans="1:14" ht="15.5" x14ac:dyDescent="0.35">
      <c r="A53" s="45" t="s">
        <v>73</v>
      </c>
      <c r="B53" s="46">
        <v>0</v>
      </c>
      <c r="C53" s="46">
        <v>0</v>
      </c>
      <c r="D53" s="46">
        <v>0</v>
      </c>
      <c r="E53" s="46">
        <v>1</v>
      </c>
      <c r="F53" s="46">
        <v>1</v>
      </c>
      <c r="G53" s="46">
        <v>1</v>
      </c>
      <c r="H53" s="46">
        <v>2</v>
      </c>
      <c r="I53" s="46">
        <v>1</v>
      </c>
      <c r="J53" s="46">
        <v>1</v>
      </c>
      <c r="K53" s="46">
        <v>0</v>
      </c>
      <c r="L53" s="46">
        <v>1</v>
      </c>
      <c r="M53" s="46">
        <v>0</v>
      </c>
      <c r="N53" s="46">
        <v>8</v>
      </c>
    </row>
    <row r="54" spans="1:14" ht="15.5" x14ac:dyDescent="0.35">
      <c r="A54" s="45" t="s">
        <v>74</v>
      </c>
      <c r="B54" s="46">
        <v>1</v>
      </c>
      <c r="C54" s="46">
        <v>3</v>
      </c>
      <c r="D54" s="46">
        <v>1</v>
      </c>
      <c r="E54" s="46">
        <v>3</v>
      </c>
      <c r="F54" s="46">
        <v>4</v>
      </c>
      <c r="G54" s="46">
        <v>3</v>
      </c>
      <c r="H54" s="46">
        <v>2</v>
      </c>
      <c r="I54" s="46">
        <v>4</v>
      </c>
      <c r="J54" s="46">
        <v>5</v>
      </c>
      <c r="K54" s="46">
        <v>2</v>
      </c>
      <c r="L54" s="46">
        <v>3</v>
      </c>
      <c r="M54" s="46">
        <v>3</v>
      </c>
      <c r="N54" s="46">
        <v>34</v>
      </c>
    </row>
    <row r="55" spans="1:14" ht="15.5" x14ac:dyDescent="0.35">
      <c r="A55" s="45" t="s">
        <v>75</v>
      </c>
      <c r="B55" s="46">
        <v>0</v>
      </c>
      <c r="C55" s="46">
        <v>0</v>
      </c>
      <c r="D55" s="46">
        <v>2</v>
      </c>
      <c r="E55" s="46">
        <v>0</v>
      </c>
      <c r="F55" s="46">
        <v>0</v>
      </c>
      <c r="G55" s="46">
        <v>0</v>
      </c>
      <c r="H55" s="46">
        <v>1</v>
      </c>
      <c r="I55" s="46">
        <v>1</v>
      </c>
      <c r="J55" s="46">
        <v>1</v>
      </c>
      <c r="K55" s="46">
        <v>0</v>
      </c>
      <c r="L55" s="46">
        <v>1</v>
      </c>
      <c r="M55" s="46">
        <v>0</v>
      </c>
      <c r="N55" s="46">
        <v>6</v>
      </c>
    </row>
    <row r="56" spans="1:14" ht="15.5" x14ac:dyDescent="0.35">
      <c r="A56" s="45" t="s">
        <v>76</v>
      </c>
      <c r="B56" s="46">
        <v>1</v>
      </c>
      <c r="C56" s="46">
        <v>3</v>
      </c>
      <c r="D56" s="46">
        <v>1</v>
      </c>
      <c r="E56" s="46">
        <v>2</v>
      </c>
      <c r="F56" s="46">
        <v>2</v>
      </c>
      <c r="G56" s="46">
        <v>2</v>
      </c>
      <c r="H56" s="46">
        <v>2</v>
      </c>
      <c r="I56" s="46">
        <v>1</v>
      </c>
      <c r="J56" s="46">
        <v>3</v>
      </c>
      <c r="K56" s="46">
        <v>3</v>
      </c>
      <c r="L56" s="46">
        <v>0</v>
      </c>
      <c r="M56" s="46">
        <v>4</v>
      </c>
      <c r="N56" s="46">
        <v>24</v>
      </c>
    </row>
    <row r="57" spans="1:14" ht="15.5" x14ac:dyDescent="0.35">
      <c r="A57" s="45" t="s">
        <v>77</v>
      </c>
      <c r="B57" s="46">
        <v>2</v>
      </c>
      <c r="C57" s="46">
        <v>2</v>
      </c>
      <c r="D57" s="46">
        <v>1</v>
      </c>
      <c r="E57" s="46">
        <v>1</v>
      </c>
      <c r="F57" s="46">
        <v>0</v>
      </c>
      <c r="G57" s="46">
        <v>1</v>
      </c>
      <c r="H57" s="46">
        <v>1</v>
      </c>
      <c r="I57" s="46">
        <v>1</v>
      </c>
      <c r="J57" s="46">
        <v>1</v>
      </c>
      <c r="K57" s="46">
        <v>0</v>
      </c>
      <c r="L57" s="46">
        <v>0</v>
      </c>
      <c r="M57" s="46">
        <v>1</v>
      </c>
      <c r="N57" s="46">
        <v>11</v>
      </c>
    </row>
    <row r="58" spans="1:14" ht="15.5" x14ac:dyDescent="0.35">
      <c r="A58" s="45" t="s">
        <v>78</v>
      </c>
      <c r="B58" s="46">
        <v>1</v>
      </c>
      <c r="C58" s="46">
        <v>0</v>
      </c>
      <c r="D58" s="46">
        <v>0</v>
      </c>
      <c r="E58" s="46">
        <v>0</v>
      </c>
      <c r="F58" s="46">
        <v>0</v>
      </c>
      <c r="G58" s="46">
        <v>1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1</v>
      </c>
      <c r="N58" s="46">
        <v>3</v>
      </c>
    </row>
    <row r="59" spans="1:14" ht="15.5" x14ac:dyDescent="0.35">
      <c r="A59" s="58" t="s">
        <v>276</v>
      </c>
      <c r="B59" s="46">
        <v>113</v>
      </c>
      <c r="C59" s="46">
        <v>93</v>
      </c>
      <c r="D59" s="46">
        <v>117</v>
      </c>
      <c r="E59" s="46">
        <v>111</v>
      </c>
      <c r="F59" s="46">
        <v>126</v>
      </c>
      <c r="G59" s="46">
        <v>109</v>
      </c>
      <c r="H59" s="46">
        <v>122</v>
      </c>
      <c r="I59" s="46">
        <v>117</v>
      </c>
      <c r="J59" s="46">
        <v>97</v>
      </c>
      <c r="K59" s="46">
        <v>117</v>
      </c>
      <c r="L59" s="46">
        <v>122</v>
      </c>
      <c r="M59" s="46">
        <v>100</v>
      </c>
      <c r="N59" s="46">
        <v>1344</v>
      </c>
    </row>
  </sheetData>
  <pageMargins left="0.55000000000000004" right="0.55000000000000004" top="0.55000000000000004" bottom="0.55000000000000004" header="0.3" footer="0.3"/>
  <pageSetup scale="73" fitToHeight="0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BC7AB-ED26-417E-8991-8D4C9D4990FB}">
  <sheetPr>
    <pageSetUpPr fitToPage="1"/>
  </sheetPr>
  <dimension ref="A1:N186"/>
  <sheetViews>
    <sheetView workbookViewId="0">
      <selection activeCell="A2" sqref="A2"/>
    </sheetView>
  </sheetViews>
  <sheetFormatPr defaultColWidth="9.1796875" defaultRowHeight="15" x14ac:dyDescent="0.3"/>
  <cols>
    <col min="1" max="1" width="17.81640625" style="1" bestFit="1" customWidth="1"/>
    <col min="2" max="2" width="10.453125" style="4" bestFit="1" customWidth="1"/>
    <col min="3" max="3" width="11.54296875" style="4" bestFit="1" customWidth="1"/>
    <col min="4" max="4" width="8.26953125" style="4" bestFit="1" customWidth="1"/>
    <col min="5" max="8" width="7.1796875" style="4" bestFit="1" customWidth="1"/>
    <col min="9" max="9" width="9.453125" style="4" bestFit="1" customWidth="1"/>
    <col min="10" max="10" width="14.1796875" style="4" bestFit="1" customWidth="1"/>
    <col min="11" max="11" width="10.453125" style="4" bestFit="1" customWidth="1"/>
    <col min="12" max="12" width="13.1796875" style="1" bestFit="1" customWidth="1"/>
    <col min="13" max="13" width="13" style="1" bestFit="1" customWidth="1"/>
    <col min="14" max="14" width="8.453125" style="1" bestFit="1" customWidth="1"/>
    <col min="15" max="16384" width="9.1796875" style="1"/>
  </cols>
  <sheetData>
    <row r="1" spans="1:14" ht="17.5" x14ac:dyDescent="0.3">
      <c r="A1" s="3" t="str">
        <f>Parameters!$A$129</f>
        <v>TABLE 5O ALCOHOL INVOLVED INJURY CRASHES BY COUNTY BY MONTH - 2021</v>
      </c>
    </row>
    <row r="3" spans="1:14" ht="15.75" customHeight="1" x14ac:dyDescent="0.3">
      <c r="A3" s="53" t="s">
        <v>16</v>
      </c>
      <c r="B3" s="30" t="s">
        <v>16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ht="15.75" customHeight="1" x14ac:dyDescent="0.3">
      <c r="A4" s="56" t="s">
        <v>277</v>
      </c>
      <c r="B4" s="57" t="s">
        <v>4</v>
      </c>
      <c r="C4" s="57" t="s">
        <v>5</v>
      </c>
      <c r="D4" s="57" t="s">
        <v>6</v>
      </c>
      <c r="E4" s="57" t="s">
        <v>7</v>
      </c>
      <c r="F4" s="57" t="s">
        <v>8</v>
      </c>
      <c r="G4" s="57" t="s">
        <v>9</v>
      </c>
      <c r="H4" s="57" t="s">
        <v>10</v>
      </c>
      <c r="I4" s="57" t="s">
        <v>11</v>
      </c>
      <c r="J4" s="57" t="s">
        <v>12</v>
      </c>
      <c r="K4" s="57" t="s">
        <v>13</v>
      </c>
      <c r="L4" s="57" t="s">
        <v>14</v>
      </c>
      <c r="M4" s="57" t="s">
        <v>15</v>
      </c>
      <c r="N4" s="27" t="s">
        <v>276</v>
      </c>
    </row>
    <row r="5" spans="1:14" ht="15.75" customHeight="1" x14ac:dyDescent="0.3">
      <c r="A5" s="45" t="s">
        <v>21</v>
      </c>
      <c r="B5" s="46">
        <v>33</v>
      </c>
      <c r="C5" s="46">
        <v>39</v>
      </c>
      <c r="D5" s="46">
        <v>31</v>
      </c>
      <c r="E5" s="46">
        <v>40</v>
      </c>
      <c r="F5" s="46">
        <v>56</v>
      </c>
      <c r="G5" s="46">
        <v>53</v>
      </c>
      <c r="H5" s="46">
        <v>64</v>
      </c>
      <c r="I5" s="46">
        <v>51</v>
      </c>
      <c r="J5" s="46">
        <v>59</v>
      </c>
      <c r="K5" s="46">
        <v>84</v>
      </c>
      <c r="L5" s="46">
        <v>58</v>
      </c>
      <c r="M5" s="46">
        <v>53</v>
      </c>
      <c r="N5" s="46">
        <v>621</v>
      </c>
    </row>
    <row r="6" spans="1:14" ht="15.75" customHeight="1" x14ac:dyDescent="0.3">
      <c r="A6" s="45" t="s">
        <v>22</v>
      </c>
      <c r="B6" s="46">
        <v>0</v>
      </c>
      <c r="C6" s="46">
        <v>1</v>
      </c>
      <c r="D6" s="46">
        <v>0</v>
      </c>
      <c r="E6" s="46">
        <v>0</v>
      </c>
      <c r="F6" s="46">
        <v>0</v>
      </c>
      <c r="G6" s="46">
        <v>1</v>
      </c>
      <c r="H6" s="46">
        <v>0</v>
      </c>
      <c r="I6" s="46">
        <v>1</v>
      </c>
      <c r="J6" s="46">
        <v>0</v>
      </c>
      <c r="K6" s="46">
        <v>0</v>
      </c>
      <c r="L6" s="46">
        <v>0</v>
      </c>
      <c r="M6" s="46">
        <v>0</v>
      </c>
      <c r="N6" s="46">
        <v>3</v>
      </c>
    </row>
    <row r="7" spans="1:14" ht="15.75" customHeight="1" x14ac:dyDescent="0.3">
      <c r="A7" s="45" t="s">
        <v>23</v>
      </c>
      <c r="B7" s="46">
        <v>6</v>
      </c>
      <c r="C7" s="46">
        <v>0</v>
      </c>
      <c r="D7" s="46">
        <v>1</v>
      </c>
      <c r="E7" s="46">
        <v>7</v>
      </c>
      <c r="F7" s="46">
        <v>7</v>
      </c>
      <c r="G7" s="46">
        <v>2</v>
      </c>
      <c r="H7" s="46">
        <v>2</v>
      </c>
      <c r="I7" s="46">
        <v>3</v>
      </c>
      <c r="J7" s="46">
        <v>6</v>
      </c>
      <c r="K7" s="46">
        <v>6</v>
      </c>
      <c r="L7" s="46">
        <v>2</v>
      </c>
      <c r="M7" s="46">
        <v>0</v>
      </c>
      <c r="N7" s="46">
        <v>42</v>
      </c>
    </row>
    <row r="8" spans="1:14" ht="15.75" customHeight="1" x14ac:dyDescent="0.3">
      <c r="A8" s="45" t="s">
        <v>24</v>
      </c>
      <c r="B8" s="46">
        <v>8</v>
      </c>
      <c r="C8" s="46">
        <v>6</v>
      </c>
      <c r="D8" s="46">
        <v>7</v>
      </c>
      <c r="E8" s="46">
        <v>14</v>
      </c>
      <c r="F8" s="46">
        <v>17</v>
      </c>
      <c r="G8" s="46">
        <v>13</v>
      </c>
      <c r="H8" s="46">
        <v>9</v>
      </c>
      <c r="I8" s="46">
        <v>15</v>
      </c>
      <c r="J8" s="46">
        <v>6</v>
      </c>
      <c r="K8" s="46">
        <v>16</v>
      </c>
      <c r="L8" s="46">
        <v>14</v>
      </c>
      <c r="M8" s="46">
        <v>13</v>
      </c>
      <c r="N8" s="46">
        <v>138</v>
      </c>
    </row>
    <row r="9" spans="1:14" ht="15.75" customHeight="1" x14ac:dyDescent="0.3">
      <c r="A9" s="45" t="s">
        <v>25</v>
      </c>
      <c r="B9" s="46">
        <v>6</v>
      </c>
      <c r="C9" s="46">
        <v>1</v>
      </c>
      <c r="D9" s="46">
        <v>4</v>
      </c>
      <c r="E9" s="46">
        <v>6</v>
      </c>
      <c r="F9" s="46">
        <v>2</v>
      </c>
      <c r="G9" s="46">
        <v>1</v>
      </c>
      <c r="H9" s="46">
        <v>8</v>
      </c>
      <c r="I9" s="46">
        <v>2</v>
      </c>
      <c r="J9" s="46">
        <v>2</v>
      </c>
      <c r="K9" s="46">
        <v>4</v>
      </c>
      <c r="L9" s="46">
        <v>4</v>
      </c>
      <c r="M9" s="46">
        <v>4</v>
      </c>
      <c r="N9" s="46">
        <v>44</v>
      </c>
    </row>
    <row r="10" spans="1:14" ht="15.75" customHeight="1" x14ac:dyDescent="0.3">
      <c r="A10" s="45" t="s">
        <v>26</v>
      </c>
      <c r="B10" s="46">
        <v>1</v>
      </c>
      <c r="C10" s="46">
        <v>2</v>
      </c>
      <c r="D10" s="46">
        <v>3</v>
      </c>
      <c r="E10" s="46">
        <v>4</v>
      </c>
      <c r="F10" s="46">
        <v>3</v>
      </c>
      <c r="G10" s="46">
        <v>1</v>
      </c>
      <c r="H10" s="46">
        <v>7</v>
      </c>
      <c r="I10" s="46">
        <v>3</v>
      </c>
      <c r="J10" s="46">
        <v>3</v>
      </c>
      <c r="K10" s="46">
        <v>4</v>
      </c>
      <c r="L10" s="46">
        <v>1</v>
      </c>
      <c r="M10" s="46">
        <v>1</v>
      </c>
      <c r="N10" s="46">
        <v>33</v>
      </c>
    </row>
    <row r="11" spans="1:14" ht="15.75" customHeight="1" x14ac:dyDescent="0.3">
      <c r="A11" s="45" t="s">
        <v>27</v>
      </c>
      <c r="B11" s="46">
        <v>27</v>
      </c>
      <c r="C11" s="46">
        <v>26</v>
      </c>
      <c r="D11" s="46">
        <v>24</v>
      </c>
      <c r="E11" s="46">
        <v>30</v>
      </c>
      <c r="F11" s="46">
        <v>34</v>
      </c>
      <c r="G11" s="46">
        <v>28</v>
      </c>
      <c r="H11" s="46">
        <v>42</v>
      </c>
      <c r="I11" s="46">
        <v>30</v>
      </c>
      <c r="J11" s="46">
        <v>39</v>
      </c>
      <c r="K11" s="46">
        <v>42</v>
      </c>
      <c r="L11" s="46">
        <v>48</v>
      </c>
      <c r="M11" s="46">
        <v>39</v>
      </c>
      <c r="N11" s="46">
        <v>409</v>
      </c>
    </row>
    <row r="12" spans="1:14" ht="15.75" customHeight="1" x14ac:dyDescent="0.3">
      <c r="A12" s="45" t="s">
        <v>28</v>
      </c>
      <c r="B12" s="46">
        <v>1</v>
      </c>
      <c r="C12" s="46">
        <v>0</v>
      </c>
      <c r="D12" s="46">
        <v>1</v>
      </c>
      <c r="E12" s="46">
        <v>2</v>
      </c>
      <c r="F12" s="46">
        <v>2</v>
      </c>
      <c r="G12" s="46">
        <v>1</v>
      </c>
      <c r="H12" s="46">
        <v>3</v>
      </c>
      <c r="I12" s="46">
        <v>2</v>
      </c>
      <c r="J12" s="46">
        <v>3</v>
      </c>
      <c r="K12" s="46">
        <v>2</v>
      </c>
      <c r="L12" s="46">
        <v>2</v>
      </c>
      <c r="M12" s="46">
        <v>2</v>
      </c>
      <c r="N12" s="46">
        <v>21</v>
      </c>
    </row>
    <row r="13" spans="1:14" ht="15.75" customHeight="1" x14ac:dyDescent="0.3">
      <c r="A13" s="45" t="s">
        <v>29</v>
      </c>
      <c r="B13" s="46">
        <v>10</v>
      </c>
      <c r="C13" s="46">
        <v>6</v>
      </c>
      <c r="D13" s="46">
        <v>6</v>
      </c>
      <c r="E13" s="46">
        <v>12</v>
      </c>
      <c r="F13" s="46">
        <v>5</v>
      </c>
      <c r="G13" s="46">
        <v>14</v>
      </c>
      <c r="H13" s="46">
        <v>16</v>
      </c>
      <c r="I13" s="46">
        <v>15</v>
      </c>
      <c r="J13" s="46">
        <v>9</v>
      </c>
      <c r="K13" s="46">
        <v>9</v>
      </c>
      <c r="L13" s="46">
        <v>7</v>
      </c>
      <c r="M13" s="46">
        <v>5</v>
      </c>
      <c r="N13" s="46">
        <v>114</v>
      </c>
    </row>
    <row r="14" spans="1:14" ht="15.75" customHeight="1" x14ac:dyDescent="0.3">
      <c r="A14" s="45" t="s">
        <v>30</v>
      </c>
      <c r="B14" s="46">
        <v>33</v>
      </c>
      <c r="C14" s="46">
        <v>19</v>
      </c>
      <c r="D14" s="46">
        <v>39</v>
      </c>
      <c r="E14" s="46">
        <v>31</v>
      </c>
      <c r="F14" s="46">
        <v>50</v>
      </c>
      <c r="G14" s="46">
        <v>41</v>
      </c>
      <c r="H14" s="46">
        <v>41</v>
      </c>
      <c r="I14" s="46">
        <v>49</v>
      </c>
      <c r="J14" s="46">
        <v>45</v>
      </c>
      <c r="K14" s="46">
        <v>53</v>
      </c>
      <c r="L14" s="46">
        <v>38</v>
      </c>
      <c r="M14" s="46">
        <v>42</v>
      </c>
      <c r="N14" s="46">
        <v>481</v>
      </c>
    </row>
    <row r="15" spans="1:14" ht="15.75" customHeight="1" x14ac:dyDescent="0.3">
      <c r="A15" s="45" t="s">
        <v>31</v>
      </c>
      <c r="B15" s="46">
        <v>1</v>
      </c>
      <c r="C15" s="46">
        <v>0</v>
      </c>
      <c r="D15" s="46">
        <v>1</v>
      </c>
      <c r="E15" s="46">
        <v>3</v>
      </c>
      <c r="F15" s="46">
        <v>1</v>
      </c>
      <c r="G15" s="46">
        <v>2</v>
      </c>
      <c r="H15" s="46">
        <v>3</v>
      </c>
      <c r="I15" s="46">
        <v>2</v>
      </c>
      <c r="J15" s="46">
        <v>3</v>
      </c>
      <c r="K15" s="46">
        <v>4</v>
      </c>
      <c r="L15" s="46">
        <v>3</v>
      </c>
      <c r="M15" s="46">
        <v>0</v>
      </c>
      <c r="N15" s="46">
        <v>23</v>
      </c>
    </row>
    <row r="16" spans="1:14" ht="15.75" customHeight="1" x14ac:dyDescent="0.3">
      <c r="A16" s="45" t="s">
        <v>32</v>
      </c>
      <c r="B16" s="46">
        <v>8</v>
      </c>
      <c r="C16" s="46">
        <v>7</v>
      </c>
      <c r="D16" s="46">
        <v>9</v>
      </c>
      <c r="E16" s="46">
        <v>5</v>
      </c>
      <c r="F16" s="46">
        <v>10</v>
      </c>
      <c r="G16" s="46">
        <v>4</v>
      </c>
      <c r="H16" s="46">
        <v>5</v>
      </c>
      <c r="I16" s="46">
        <v>9</v>
      </c>
      <c r="J16" s="46">
        <v>9</v>
      </c>
      <c r="K16" s="46">
        <v>10</v>
      </c>
      <c r="L16" s="46">
        <v>3</v>
      </c>
      <c r="M16" s="46">
        <v>10</v>
      </c>
      <c r="N16" s="46">
        <v>89</v>
      </c>
    </row>
    <row r="17" spans="1:14" ht="15.75" customHeight="1" x14ac:dyDescent="0.3">
      <c r="A17" s="45" t="s">
        <v>33</v>
      </c>
      <c r="B17" s="46">
        <v>6</v>
      </c>
      <c r="C17" s="46">
        <v>3</v>
      </c>
      <c r="D17" s="46">
        <v>5</v>
      </c>
      <c r="E17" s="46">
        <v>5</v>
      </c>
      <c r="F17" s="46">
        <v>5</v>
      </c>
      <c r="G17" s="46">
        <v>6</v>
      </c>
      <c r="H17" s="46">
        <v>8</v>
      </c>
      <c r="I17" s="46">
        <v>5</v>
      </c>
      <c r="J17" s="46">
        <v>6</v>
      </c>
      <c r="K17" s="46">
        <v>5</v>
      </c>
      <c r="L17" s="46">
        <v>7</v>
      </c>
      <c r="M17" s="46">
        <v>6</v>
      </c>
      <c r="N17" s="46">
        <v>67</v>
      </c>
    </row>
    <row r="18" spans="1:14" ht="15.75" customHeight="1" x14ac:dyDescent="0.3">
      <c r="A18" s="45" t="s">
        <v>34</v>
      </c>
      <c r="B18" s="46">
        <v>1</v>
      </c>
      <c r="C18" s="46">
        <v>0</v>
      </c>
      <c r="D18" s="46">
        <v>1</v>
      </c>
      <c r="E18" s="46">
        <v>3</v>
      </c>
      <c r="F18" s="46">
        <v>2</v>
      </c>
      <c r="G18" s="46">
        <v>2</v>
      </c>
      <c r="H18" s="46">
        <v>1</v>
      </c>
      <c r="I18" s="46">
        <v>1</v>
      </c>
      <c r="J18" s="46">
        <v>1</v>
      </c>
      <c r="K18" s="46">
        <v>2</v>
      </c>
      <c r="L18" s="46">
        <v>2</v>
      </c>
      <c r="M18" s="46">
        <v>0</v>
      </c>
      <c r="N18" s="46">
        <v>16</v>
      </c>
    </row>
    <row r="19" spans="1:14" ht="15.75" customHeight="1" x14ac:dyDescent="0.3">
      <c r="A19" s="45" t="s">
        <v>35</v>
      </c>
      <c r="B19" s="46">
        <v>36</v>
      </c>
      <c r="C19" s="46">
        <v>36</v>
      </c>
      <c r="D19" s="46">
        <v>45</v>
      </c>
      <c r="E19" s="46">
        <v>50</v>
      </c>
      <c r="F19" s="46">
        <v>55</v>
      </c>
      <c r="G19" s="46">
        <v>32</v>
      </c>
      <c r="H19" s="46">
        <v>57</v>
      </c>
      <c r="I19" s="46">
        <v>25</v>
      </c>
      <c r="J19" s="46">
        <v>45</v>
      </c>
      <c r="K19" s="46">
        <v>50</v>
      </c>
      <c r="L19" s="46">
        <v>34</v>
      </c>
      <c r="M19" s="46">
        <v>37</v>
      </c>
      <c r="N19" s="46">
        <v>502</v>
      </c>
    </row>
    <row r="20" spans="1:14" ht="15.75" customHeight="1" x14ac:dyDescent="0.3">
      <c r="A20" s="45" t="s">
        <v>36</v>
      </c>
      <c r="B20" s="46">
        <v>8</v>
      </c>
      <c r="C20" s="46">
        <v>7</v>
      </c>
      <c r="D20" s="46">
        <v>5</v>
      </c>
      <c r="E20" s="46">
        <v>6</v>
      </c>
      <c r="F20" s="46">
        <v>7</v>
      </c>
      <c r="G20" s="46">
        <v>9</v>
      </c>
      <c r="H20" s="46">
        <v>4</v>
      </c>
      <c r="I20" s="46">
        <v>4</v>
      </c>
      <c r="J20" s="46">
        <v>8</v>
      </c>
      <c r="K20" s="46">
        <v>15</v>
      </c>
      <c r="L20" s="46">
        <v>5</v>
      </c>
      <c r="M20" s="46">
        <v>11</v>
      </c>
      <c r="N20" s="46">
        <v>89</v>
      </c>
    </row>
    <row r="21" spans="1:14" ht="15.75" customHeight="1" x14ac:dyDescent="0.3">
      <c r="A21" s="45" t="s">
        <v>37</v>
      </c>
      <c r="B21" s="46">
        <v>4</v>
      </c>
      <c r="C21" s="46">
        <v>2</v>
      </c>
      <c r="D21" s="46">
        <v>4</v>
      </c>
      <c r="E21" s="46">
        <v>4</v>
      </c>
      <c r="F21" s="46">
        <v>10</v>
      </c>
      <c r="G21" s="46">
        <v>3</v>
      </c>
      <c r="H21" s="46">
        <v>7</v>
      </c>
      <c r="I21" s="46">
        <v>8</v>
      </c>
      <c r="J21" s="46">
        <v>4</v>
      </c>
      <c r="K21" s="46">
        <v>6</v>
      </c>
      <c r="L21" s="46">
        <v>6</v>
      </c>
      <c r="M21" s="46">
        <v>6</v>
      </c>
      <c r="N21" s="46">
        <v>64</v>
      </c>
    </row>
    <row r="22" spans="1:14" ht="15.75" customHeight="1" x14ac:dyDescent="0.3">
      <c r="A22" s="45" t="s">
        <v>38</v>
      </c>
      <c r="B22" s="46">
        <v>2</v>
      </c>
      <c r="C22" s="46">
        <v>3</v>
      </c>
      <c r="D22" s="46">
        <v>0</v>
      </c>
      <c r="E22" s="46">
        <v>0</v>
      </c>
      <c r="F22" s="46">
        <v>2</v>
      </c>
      <c r="G22" s="46">
        <v>2</v>
      </c>
      <c r="H22" s="46">
        <v>1</v>
      </c>
      <c r="I22" s="46">
        <v>2</v>
      </c>
      <c r="J22" s="46">
        <v>1</v>
      </c>
      <c r="K22" s="46">
        <v>0</v>
      </c>
      <c r="L22" s="46">
        <v>2</v>
      </c>
      <c r="M22" s="46">
        <v>1</v>
      </c>
      <c r="N22" s="46">
        <v>16</v>
      </c>
    </row>
    <row r="23" spans="1:14" ht="15.75" customHeight="1" x14ac:dyDescent="0.3">
      <c r="A23" s="45" t="s">
        <v>39</v>
      </c>
      <c r="B23" s="46">
        <v>277</v>
      </c>
      <c r="C23" s="46">
        <v>290</v>
      </c>
      <c r="D23" s="46">
        <v>346</v>
      </c>
      <c r="E23" s="46">
        <v>349</v>
      </c>
      <c r="F23" s="46">
        <v>400</v>
      </c>
      <c r="G23" s="46">
        <v>372</v>
      </c>
      <c r="H23" s="46">
        <v>410</v>
      </c>
      <c r="I23" s="46">
        <v>401</v>
      </c>
      <c r="J23" s="46">
        <v>389</v>
      </c>
      <c r="K23" s="46">
        <v>453</v>
      </c>
      <c r="L23" s="46">
        <v>399</v>
      </c>
      <c r="M23" s="46">
        <v>376</v>
      </c>
      <c r="N23" s="46">
        <v>4462</v>
      </c>
    </row>
    <row r="24" spans="1:14" ht="15.75" customHeight="1" x14ac:dyDescent="0.3">
      <c r="A24" s="45" t="s">
        <v>40</v>
      </c>
      <c r="B24" s="46">
        <v>12</v>
      </c>
      <c r="C24" s="46">
        <v>5</v>
      </c>
      <c r="D24" s="46">
        <v>9</v>
      </c>
      <c r="E24" s="46">
        <v>12</v>
      </c>
      <c r="F24" s="46">
        <v>10</v>
      </c>
      <c r="G24" s="46">
        <v>13</v>
      </c>
      <c r="H24" s="46">
        <v>12</v>
      </c>
      <c r="I24" s="46">
        <v>15</v>
      </c>
      <c r="J24" s="46">
        <v>9</v>
      </c>
      <c r="K24" s="46">
        <v>10</v>
      </c>
      <c r="L24" s="46">
        <v>7</v>
      </c>
      <c r="M24" s="46">
        <v>9</v>
      </c>
      <c r="N24" s="46">
        <v>123</v>
      </c>
    </row>
    <row r="25" spans="1:14" ht="15.75" customHeight="1" x14ac:dyDescent="0.3">
      <c r="A25" s="45" t="s">
        <v>41</v>
      </c>
      <c r="B25" s="46">
        <v>5</v>
      </c>
      <c r="C25" s="46">
        <v>5</v>
      </c>
      <c r="D25" s="46">
        <v>8</v>
      </c>
      <c r="E25" s="46">
        <v>7</v>
      </c>
      <c r="F25" s="46">
        <v>8</v>
      </c>
      <c r="G25" s="46">
        <v>9</v>
      </c>
      <c r="H25" s="46">
        <v>7</v>
      </c>
      <c r="I25" s="46">
        <v>5</v>
      </c>
      <c r="J25" s="46">
        <v>12</v>
      </c>
      <c r="K25" s="46">
        <v>14</v>
      </c>
      <c r="L25" s="46">
        <v>8</v>
      </c>
      <c r="M25" s="46">
        <v>4</v>
      </c>
      <c r="N25" s="46">
        <v>92</v>
      </c>
    </row>
    <row r="26" spans="1:14" ht="15.75" customHeight="1" x14ac:dyDescent="0.3">
      <c r="A26" s="45" t="s">
        <v>42</v>
      </c>
      <c r="B26" s="46">
        <v>0</v>
      </c>
      <c r="C26" s="46">
        <v>1</v>
      </c>
      <c r="D26" s="46">
        <v>1</v>
      </c>
      <c r="E26" s="46">
        <v>1</v>
      </c>
      <c r="F26" s="46">
        <v>1</v>
      </c>
      <c r="G26" s="46">
        <v>2</v>
      </c>
      <c r="H26" s="46">
        <v>0</v>
      </c>
      <c r="I26" s="46">
        <v>1</v>
      </c>
      <c r="J26" s="46">
        <v>0</v>
      </c>
      <c r="K26" s="46">
        <v>0</v>
      </c>
      <c r="L26" s="46">
        <v>2</v>
      </c>
      <c r="M26" s="46">
        <v>1</v>
      </c>
      <c r="N26" s="46">
        <v>10</v>
      </c>
    </row>
    <row r="27" spans="1:14" ht="15.75" customHeight="1" x14ac:dyDescent="0.3">
      <c r="A27" s="45" t="s">
        <v>43</v>
      </c>
      <c r="B27" s="46">
        <v>4</v>
      </c>
      <c r="C27" s="46">
        <v>5</v>
      </c>
      <c r="D27" s="46">
        <v>5</v>
      </c>
      <c r="E27" s="46">
        <v>7</v>
      </c>
      <c r="F27" s="46">
        <v>10</v>
      </c>
      <c r="G27" s="46">
        <v>5</v>
      </c>
      <c r="H27" s="46">
        <v>7</v>
      </c>
      <c r="I27" s="46">
        <v>4</v>
      </c>
      <c r="J27" s="46">
        <v>4</v>
      </c>
      <c r="K27" s="46">
        <v>12</v>
      </c>
      <c r="L27" s="46">
        <v>5</v>
      </c>
      <c r="M27" s="46">
        <v>7</v>
      </c>
      <c r="N27" s="46">
        <v>75</v>
      </c>
    </row>
    <row r="28" spans="1:14" ht="15.75" customHeight="1" x14ac:dyDescent="0.3">
      <c r="A28" s="45" t="s">
        <v>44</v>
      </c>
      <c r="B28" s="46">
        <v>18</v>
      </c>
      <c r="C28" s="46">
        <v>12</v>
      </c>
      <c r="D28" s="46">
        <v>15</v>
      </c>
      <c r="E28" s="46">
        <v>21</v>
      </c>
      <c r="F28" s="46">
        <v>23</v>
      </c>
      <c r="G28" s="46">
        <v>18</v>
      </c>
      <c r="H28" s="46">
        <v>16</v>
      </c>
      <c r="I28" s="46">
        <v>21</v>
      </c>
      <c r="J28" s="46">
        <v>15</v>
      </c>
      <c r="K28" s="46">
        <v>23</v>
      </c>
      <c r="L28" s="46">
        <v>9</v>
      </c>
      <c r="M28" s="46">
        <v>21</v>
      </c>
      <c r="N28" s="46">
        <v>212</v>
      </c>
    </row>
    <row r="29" spans="1:14" ht="15.75" customHeight="1" x14ac:dyDescent="0.3">
      <c r="A29" s="45" t="s">
        <v>45</v>
      </c>
      <c r="B29" s="46">
        <v>0</v>
      </c>
      <c r="C29" s="46">
        <v>0</v>
      </c>
      <c r="D29" s="46">
        <v>1</v>
      </c>
      <c r="E29" s="46">
        <v>0</v>
      </c>
      <c r="F29" s="46">
        <v>0</v>
      </c>
      <c r="G29" s="46">
        <v>0</v>
      </c>
      <c r="H29" s="46">
        <v>2</v>
      </c>
      <c r="I29" s="46">
        <v>1</v>
      </c>
      <c r="J29" s="46">
        <v>1</v>
      </c>
      <c r="K29" s="46">
        <v>1</v>
      </c>
      <c r="L29" s="46">
        <v>1</v>
      </c>
      <c r="M29" s="46">
        <v>1</v>
      </c>
      <c r="N29" s="46">
        <v>8</v>
      </c>
    </row>
    <row r="30" spans="1:14" ht="15.75" customHeight="1" x14ac:dyDescent="0.3">
      <c r="A30" s="45" t="s">
        <v>46</v>
      </c>
      <c r="B30" s="46">
        <v>0</v>
      </c>
      <c r="C30" s="46">
        <v>0</v>
      </c>
      <c r="D30" s="46">
        <v>1</v>
      </c>
      <c r="E30" s="46">
        <v>0</v>
      </c>
      <c r="F30" s="46">
        <v>2</v>
      </c>
      <c r="G30" s="46">
        <v>0</v>
      </c>
      <c r="H30" s="46">
        <v>0</v>
      </c>
      <c r="I30" s="46">
        <v>1</v>
      </c>
      <c r="J30" s="46">
        <v>2</v>
      </c>
      <c r="K30" s="46">
        <v>0</v>
      </c>
      <c r="L30" s="46">
        <v>1</v>
      </c>
      <c r="M30" s="46">
        <v>0</v>
      </c>
      <c r="N30" s="46">
        <v>7</v>
      </c>
    </row>
    <row r="31" spans="1:14" ht="15.75" customHeight="1" x14ac:dyDescent="0.3">
      <c r="A31" s="45" t="s">
        <v>47</v>
      </c>
      <c r="B31" s="46">
        <v>11</v>
      </c>
      <c r="C31" s="46">
        <v>16</v>
      </c>
      <c r="D31" s="46">
        <v>21</v>
      </c>
      <c r="E31" s="46">
        <v>12</v>
      </c>
      <c r="F31" s="46">
        <v>23</v>
      </c>
      <c r="G31" s="46">
        <v>16</v>
      </c>
      <c r="H31" s="46">
        <v>25</v>
      </c>
      <c r="I31" s="46">
        <v>26</v>
      </c>
      <c r="J31" s="46">
        <v>37</v>
      </c>
      <c r="K31" s="46">
        <v>18</v>
      </c>
      <c r="L31" s="46">
        <v>18</v>
      </c>
      <c r="M31" s="46">
        <v>19</v>
      </c>
      <c r="N31" s="46">
        <v>242</v>
      </c>
    </row>
    <row r="32" spans="1:14" ht="15.75" customHeight="1" x14ac:dyDescent="0.3">
      <c r="A32" s="45" t="s">
        <v>48</v>
      </c>
      <c r="B32" s="46">
        <v>4</v>
      </c>
      <c r="C32" s="46">
        <v>5</v>
      </c>
      <c r="D32" s="46">
        <v>4</v>
      </c>
      <c r="E32" s="46">
        <v>11</v>
      </c>
      <c r="F32" s="46">
        <v>5</v>
      </c>
      <c r="G32" s="46">
        <v>12</v>
      </c>
      <c r="H32" s="46">
        <v>11</v>
      </c>
      <c r="I32" s="46">
        <v>5</v>
      </c>
      <c r="J32" s="46">
        <v>4</v>
      </c>
      <c r="K32" s="46">
        <v>16</v>
      </c>
      <c r="L32" s="46">
        <v>11</v>
      </c>
      <c r="M32" s="46">
        <v>11</v>
      </c>
      <c r="N32" s="46">
        <v>99</v>
      </c>
    </row>
    <row r="33" spans="1:14" ht="15.75" customHeight="1" x14ac:dyDescent="0.3">
      <c r="A33" s="45" t="s">
        <v>49</v>
      </c>
      <c r="B33" s="46">
        <v>10</v>
      </c>
      <c r="C33" s="46">
        <v>4</v>
      </c>
      <c r="D33" s="46">
        <v>6</v>
      </c>
      <c r="E33" s="46">
        <v>10</v>
      </c>
      <c r="F33" s="46">
        <v>8</v>
      </c>
      <c r="G33" s="46">
        <v>7</v>
      </c>
      <c r="H33" s="46">
        <v>5</v>
      </c>
      <c r="I33" s="46">
        <v>9</v>
      </c>
      <c r="J33" s="46">
        <v>6</v>
      </c>
      <c r="K33" s="46">
        <v>10</v>
      </c>
      <c r="L33" s="46">
        <v>5</v>
      </c>
      <c r="M33" s="46">
        <v>8</v>
      </c>
      <c r="N33" s="46">
        <v>88</v>
      </c>
    </row>
    <row r="34" spans="1:14" ht="15.75" customHeight="1" x14ac:dyDescent="0.3">
      <c r="A34" s="45" t="s">
        <v>50</v>
      </c>
      <c r="B34" s="46">
        <v>87</v>
      </c>
      <c r="C34" s="46">
        <v>88</v>
      </c>
      <c r="D34" s="46">
        <v>132</v>
      </c>
      <c r="E34" s="46">
        <v>98</v>
      </c>
      <c r="F34" s="46">
        <v>109</v>
      </c>
      <c r="G34" s="46">
        <v>115</v>
      </c>
      <c r="H34" s="46">
        <v>128</v>
      </c>
      <c r="I34" s="46">
        <v>124</v>
      </c>
      <c r="J34" s="46">
        <v>135</v>
      </c>
      <c r="K34" s="46">
        <v>133</v>
      </c>
      <c r="L34" s="46">
        <v>97</v>
      </c>
      <c r="M34" s="46">
        <v>112</v>
      </c>
      <c r="N34" s="46">
        <v>1358</v>
      </c>
    </row>
    <row r="35" spans="1:14" ht="15.75" customHeight="1" x14ac:dyDescent="0.3">
      <c r="A35" s="45" t="s">
        <v>51</v>
      </c>
      <c r="B35" s="46">
        <v>17</v>
      </c>
      <c r="C35" s="46">
        <v>16</v>
      </c>
      <c r="D35" s="46">
        <v>19</v>
      </c>
      <c r="E35" s="46">
        <v>20</v>
      </c>
      <c r="F35" s="46">
        <v>24</v>
      </c>
      <c r="G35" s="46">
        <v>19</v>
      </c>
      <c r="H35" s="46">
        <v>20</v>
      </c>
      <c r="I35" s="46">
        <v>23</v>
      </c>
      <c r="J35" s="46">
        <v>15</v>
      </c>
      <c r="K35" s="46">
        <v>16</v>
      </c>
      <c r="L35" s="46">
        <v>12</v>
      </c>
      <c r="M35" s="46">
        <v>18</v>
      </c>
      <c r="N35" s="46">
        <v>219</v>
      </c>
    </row>
    <row r="36" spans="1:14" ht="15.75" customHeight="1" x14ac:dyDescent="0.3">
      <c r="A36" s="45" t="s">
        <v>52</v>
      </c>
      <c r="B36" s="46">
        <v>1</v>
      </c>
      <c r="C36" s="46">
        <v>2</v>
      </c>
      <c r="D36" s="46">
        <v>4</v>
      </c>
      <c r="E36" s="46">
        <v>0</v>
      </c>
      <c r="F36" s="46">
        <v>2</v>
      </c>
      <c r="G36" s="46">
        <v>1</v>
      </c>
      <c r="H36" s="46">
        <v>5</v>
      </c>
      <c r="I36" s="46">
        <v>3</v>
      </c>
      <c r="J36" s="46">
        <v>1</v>
      </c>
      <c r="K36" s="46">
        <v>1</v>
      </c>
      <c r="L36" s="46">
        <v>2</v>
      </c>
      <c r="M36" s="46">
        <v>0</v>
      </c>
      <c r="N36" s="46">
        <v>22</v>
      </c>
    </row>
    <row r="37" spans="1:14" ht="15.75" customHeight="1" x14ac:dyDescent="0.3">
      <c r="A37" s="45" t="s">
        <v>53</v>
      </c>
      <c r="B37" s="46">
        <v>82</v>
      </c>
      <c r="C37" s="46">
        <v>88</v>
      </c>
      <c r="D37" s="46">
        <v>84</v>
      </c>
      <c r="E37" s="46">
        <v>114</v>
      </c>
      <c r="F37" s="46">
        <v>124</v>
      </c>
      <c r="G37" s="46">
        <v>115</v>
      </c>
      <c r="H37" s="46">
        <v>114</v>
      </c>
      <c r="I37" s="46">
        <v>134</v>
      </c>
      <c r="J37" s="46">
        <v>114</v>
      </c>
      <c r="K37" s="46">
        <v>114</v>
      </c>
      <c r="L37" s="46">
        <v>116</v>
      </c>
      <c r="M37" s="46">
        <v>108</v>
      </c>
      <c r="N37" s="46">
        <v>1307</v>
      </c>
    </row>
    <row r="38" spans="1:14" ht="15.75" customHeight="1" x14ac:dyDescent="0.3">
      <c r="A38" s="45" t="s">
        <v>54</v>
      </c>
      <c r="B38" s="46">
        <v>59</v>
      </c>
      <c r="C38" s="46">
        <v>63</v>
      </c>
      <c r="D38" s="46">
        <v>69</v>
      </c>
      <c r="E38" s="46">
        <v>72</v>
      </c>
      <c r="F38" s="46">
        <v>88</v>
      </c>
      <c r="G38" s="46">
        <v>78</v>
      </c>
      <c r="H38" s="46">
        <v>69</v>
      </c>
      <c r="I38" s="46">
        <v>91</v>
      </c>
      <c r="J38" s="46">
        <v>98</v>
      </c>
      <c r="K38" s="46">
        <v>80</v>
      </c>
      <c r="L38" s="46">
        <v>71</v>
      </c>
      <c r="M38" s="46">
        <v>77</v>
      </c>
      <c r="N38" s="46">
        <v>915</v>
      </c>
    </row>
    <row r="39" spans="1:14" ht="15.75" customHeight="1" x14ac:dyDescent="0.3">
      <c r="A39" s="45" t="s">
        <v>55</v>
      </c>
      <c r="B39" s="46">
        <v>2</v>
      </c>
      <c r="C39" s="46">
        <v>2</v>
      </c>
      <c r="D39" s="46">
        <v>1</v>
      </c>
      <c r="E39" s="46">
        <v>3</v>
      </c>
      <c r="F39" s="46">
        <v>1</v>
      </c>
      <c r="G39" s="46">
        <v>3</v>
      </c>
      <c r="H39" s="46">
        <v>8</v>
      </c>
      <c r="I39" s="46">
        <v>2</v>
      </c>
      <c r="J39" s="46">
        <v>4</v>
      </c>
      <c r="K39" s="46">
        <v>8</v>
      </c>
      <c r="L39" s="46">
        <v>6</v>
      </c>
      <c r="M39" s="46">
        <v>2</v>
      </c>
      <c r="N39" s="46">
        <v>42</v>
      </c>
    </row>
    <row r="40" spans="1:14" ht="15.75" customHeight="1" x14ac:dyDescent="0.3">
      <c r="A40" s="45" t="s">
        <v>56</v>
      </c>
      <c r="B40" s="46">
        <v>74</v>
      </c>
      <c r="C40" s="46">
        <v>73</v>
      </c>
      <c r="D40" s="46">
        <v>114</v>
      </c>
      <c r="E40" s="46">
        <v>104</v>
      </c>
      <c r="F40" s="46">
        <v>110</v>
      </c>
      <c r="G40" s="46">
        <v>95</v>
      </c>
      <c r="H40" s="46">
        <v>123</v>
      </c>
      <c r="I40" s="46">
        <v>91</v>
      </c>
      <c r="J40" s="46">
        <v>117</v>
      </c>
      <c r="K40" s="46">
        <v>129</v>
      </c>
      <c r="L40" s="46">
        <v>118</v>
      </c>
      <c r="M40" s="46">
        <v>100</v>
      </c>
      <c r="N40" s="46">
        <v>1248</v>
      </c>
    </row>
    <row r="41" spans="1:14" ht="15.75" customHeight="1" x14ac:dyDescent="0.3">
      <c r="A41" s="45" t="s">
        <v>57</v>
      </c>
      <c r="B41" s="46">
        <v>130</v>
      </c>
      <c r="C41" s="46">
        <v>131</v>
      </c>
      <c r="D41" s="46">
        <v>157</v>
      </c>
      <c r="E41" s="46">
        <v>135</v>
      </c>
      <c r="F41" s="46">
        <v>183</v>
      </c>
      <c r="G41" s="46">
        <v>160</v>
      </c>
      <c r="H41" s="46">
        <v>192</v>
      </c>
      <c r="I41" s="46">
        <v>175</v>
      </c>
      <c r="J41" s="46">
        <v>170</v>
      </c>
      <c r="K41" s="46">
        <v>188</v>
      </c>
      <c r="L41" s="46">
        <v>169</v>
      </c>
      <c r="M41" s="46">
        <v>153</v>
      </c>
      <c r="N41" s="46">
        <v>1943</v>
      </c>
    </row>
    <row r="42" spans="1:14" ht="15.75" customHeight="1" x14ac:dyDescent="0.3">
      <c r="A42" s="45" t="s">
        <v>58</v>
      </c>
      <c r="B42" s="46">
        <v>12</v>
      </c>
      <c r="C42" s="46">
        <v>12</v>
      </c>
      <c r="D42" s="46">
        <v>23</v>
      </c>
      <c r="E42" s="46">
        <v>22</v>
      </c>
      <c r="F42" s="46">
        <v>33</v>
      </c>
      <c r="G42" s="46">
        <v>26</v>
      </c>
      <c r="H42" s="46">
        <v>25</v>
      </c>
      <c r="I42" s="46">
        <v>35</v>
      </c>
      <c r="J42" s="46">
        <v>33</v>
      </c>
      <c r="K42" s="46">
        <v>38</v>
      </c>
      <c r="L42" s="46">
        <v>38</v>
      </c>
      <c r="M42" s="46">
        <v>19</v>
      </c>
      <c r="N42" s="46">
        <v>316</v>
      </c>
    </row>
    <row r="43" spans="1:14" ht="15.75" customHeight="1" x14ac:dyDescent="0.3">
      <c r="A43" s="45" t="s">
        <v>59</v>
      </c>
      <c r="B43" s="46">
        <v>31</v>
      </c>
      <c r="C43" s="46">
        <v>32</v>
      </c>
      <c r="D43" s="46">
        <v>32</v>
      </c>
      <c r="E43" s="46">
        <v>42</v>
      </c>
      <c r="F43" s="46">
        <v>38</v>
      </c>
      <c r="G43" s="46">
        <v>33</v>
      </c>
      <c r="H43" s="46">
        <v>42</v>
      </c>
      <c r="I43" s="46">
        <v>49</v>
      </c>
      <c r="J43" s="46">
        <v>53</v>
      </c>
      <c r="K43" s="46">
        <v>43</v>
      </c>
      <c r="L43" s="46">
        <v>37</v>
      </c>
      <c r="M43" s="46">
        <v>40</v>
      </c>
      <c r="N43" s="46">
        <v>472</v>
      </c>
    </row>
    <row r="44" spans="1:14" ht="15.75" customHeight="1" x14ac:dyDescent="0.3">
      <c r="A44" s="45" t="s">
        <v>60</v>
      </c>
      <c r="B44" s="46">
        <v>8</v>
      </c>
      <c r="C44" s="46">
        <v>10</v>
      </c>
      <c r="D44" s="46">
        <v>12</v>
      </c>
      <c r="E44" s="46">
        <v>13</v>
      </c>
      <c r="F44" s="46">
        <v>14</v>
      </c>
      <c r="G44" s="46">
        <v>16</v>
      </c>
      <c r="H44" s="46">
        <v>9</v>
      </c>
      <c r="I44" s="46">
        <v>16</v>
      </c>
      <c r="J44" s="46">
        <v>21</v>
      </c>
      <c r="K44" s="46">
        <v>17</v>
      </c>
      <c r="L44" s="46">
        <v>12</v>
      </c>
      <c r="M44" s="46">
        <v>21</v>
      </c>
      <c r="N44" s="46">
        <v>169</v>
      </c>
    </row>
    <row r="45" spans="1:14" ht="15.75" customHeight="1" x14ac:dyDescent="0.3">
      <c r="A45" s="45" t="s">
        <v>61</v>
      </c>
      <c r="B45" s="46">
        <v>11</v>
      </c>
      <c r="C45" s="46">
        <v>13</v>
      </c>
      <c r="D45" s="46">
        <v>19</v>
      </c>
      <c r="E45" s="46">
        <v>19</v>
      </c>
      <c r="F45" s="46">
        <v>21</v>
      </c>
      <c r="G45" s="46">
        <v>28</v>
      </c>
      <c r="H45" s="46">
        <v>20</v>
      </c>
      <c r="I45" s="46">
        <v>20</v>
      </c>
      <c r="J45" s="46">
        <v>17</v>
      </c>
      <c r="K45" s="46">
        <v>20</v>
      </c>
      <c r="L45" s="46">
        <v>17</v>
      </c>
      <c r="M45" s="46">
        <v>24</v>
      </c>
      <c r="N45" s="46">
        <v>229</v>
      </c>
    </row>
    <row r="46" spans="1:14" ht="15.75" customHeight="1" x14ac:dyDescent="0.3">
      <c r="A46" s="45" t="s">
        <v>62</v>
      </c>
      <c r="B46" s="46">
        <v>24</v>
      </c>
      <c r="C46" s="46">
        <v>18</v>
      </c>
      <c r="D46" s="46">
        <v>22</v>
      </c>
      <c r="E46" s="46">
        <v>18</v>
      </c>
      <c r="F46" s="46">
        <v>20</v>
      </c>
      <c r="G46" s="46">
        <v>30</v>
      </c>
      <c r="H46" s="46">
        <v>28</v>
      </c>
      <c r="I46" s="46">
        <v>31</v>
      </c>
      <c r="J46" s="46">
        <v>22</v>
      </c>
      <c r="K46" s="46">
        <v>21</v>
      </c>
      <c r="L46" s="46">
        <v>23</v>
      </c>
      <c r="M46" s="46">
        <v>26</v>
      </c>
      <c r="N46" s="46">
        <v>283</v>
      </c>
    </row>
    <row r="47" spans="1:14" ht="15.75" customHeight="1" x14ac:dyDescent="0.3">
      <c r="A47" s="45" t="s">
        <v>63</v>
      </c>
      <c r="B47" s="46">
        <v>54</v>
      </c>
      <c r="C47" s="46">
        <v>51</v>
      </c>
      <c r="D47" s="46">
        <v>51</v>
      </c>
      <c r="E47" s="46">
        <v>39</v>
      </c>
      <c r="F47" s="46">
        <v>43</v>
      </c>
      <c r="G47" s="46">
        <v>61</v>
      </c>
      <c r="H47" s="46">
        <v>60</v>
      </c>
      <c r="I47" s="46">
        <v>57</v>
      </c>
      <c r="J47" s="46">
        <v>80</v>
      </c>
      <c r="K47" s="46">
        <v>76</v>
      </c>
      <c r="L47" s="46">
        <v>58</v>
      </c>
      <c r="M47" s="46">
        <v>68</v>
      </c>
      <c r="N47" s="46">
        <v>698</v>
      </c>
    </row>
    <row r="48" spans="1:14" ht="15.75" customHeight="1" x14ac:dyDescent="0.3">
      <c r="A48" s="45" t="s">
        <v>64</v>
      </c>
      <c r="B48" s="46">
        <v>12</v>
      </c>
      <c r="C48" s="46">
        <v>18</v>
      </c>
      <c r="D48" s="46">
        <v>11</v>
      </c>
      <c r="E48" s="46">
        <v>12</v>
      </c>
      <c r="F48" s="46">
        <v>21</v>
      </c>
      <c r="G48" s="46">
        <v>17</v>
      </c>
      <c r="H48" s="46">
        <v>22</v>
      </c>
      <c r="I48" s="46">
        <v>15</v>
      </c>
      <c r="J48" s="46">
        <v>18</v>
      </c>
      <c r="K48" s="46">
        <v>10</v>
      </c>
      <c r="L48" s="46">
        <v>16</v>
      </c>
      <c r="M48" s="46">
        <v>11</v>
      </c>
      <c r="N48" s="46">
        <v>183</v>
      </c>
    </row>
    <row r="49" spans="1:14" ht="15.75" customHeight="1" x14ac:dyDescent="0.3">
      <c r="A49" s="45" t="s">
        <v>65</v>
      </c>
      <c r="B49" s="46">
        <v>6</v>
      </c>
      <c r="C49" s="46">
        <v>7</v>
      </c>
      <c r="D49" s="46">
        <v>10</v>
      </c>
      <c r="E49" s="46">
        <v>16</v>
      </c>
      <c r="F49" s="46">
        <v>12</v>
      </c>
      <c r="G49" s="46">
        <v>7</v>
      </c>
      <c r="H49" s="46">
        <v>14</v>
      </c>
      <c r="I49" s="46">
        <v>12</v>
      </c>
      <c r="J49" s="46">
        <v>11</v>
      </c>
      <c r="K49" s="46">
        <v>12</v>
      </c>
      <c r="L49" s="46">
        <v>12</v>
      </c>
      <c r="M49" s="46">
        <v>6</v>
      </c>
      <c r="N49" s="46">
        <v>125</v>
      </c>
    </row>
    <row r="50" spans="1:14" ht="15.75" customHeight="1" x14ac:dyDescent="0.3">
      <c r="A50" s="45" t="s">
        <v>66</v>
      </c>
      <c r="B50" s="46">
        <v>0</v>
      </c>
      <c r="C50" s="46">
        <v>0</v>
      </c>
      <c r="D50" s="46">
        <v>0</v>
      </c>
      <c r="E50" s="46">
        <v>0</v>
      </c>
      <c r="F50" s="46">
        <v>0</v>
      </c>
      <c r="G50" s="46">
        <v>0</v>
      </c>
      <c r="H50" s="46">
        <v>1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1</v>
      </c>
    </row>
    <row r="51" spans="1:14" ht="15.75" customHeight="1" x14ac:dyDescent="0.3">
      <c r="A51" s="45" t="s">
        <v>67</v>
      </c>
      <c r="B51" s="46">
        <v>3</v>
      </c>
      <c r="C51" s="46">
        <v>3</v>
      </c>
      <c r="D51" s="46">
        <v>2</v>
      </c>
      <c r="E51" s="46">
        <v>3</v>
      </c>
      <c r="F51" s="46">
        <v>2</v>
      </c>
      <c r="G51" s="46">
        <v>6</v>
      </c>
      <c r="H51" s="46">
        <v>4</v>
      </c>
      <c r="I51" s="46">
        <v>1</v>
      </c>
      <c r="J51" s="46">
        <v>2</v>
      </c>
      <c r="K51" s="46">
        <v>4</v>
      </c>
      <c r="L51" s="46">
        <v>5</v>
      </c>
      <c r="M51" s="46">
        <v>2</v>
      </c>
      <c r="N51" s="46">
        <v>37</v>
      </c>
    </row>
    <row r="52" spans="1:14" ht="15.75" customHeight="1" x14ac:dyDescent="0.3">
      <c r="A52" s="45" t="s">
        <v>68</v>
      </c>
      <c r="B52" s="46">
        <v>11</v>
      </c>
      <c r="C52" s="46">
        <v>16</v>
      </c>
      <c r="D52" s="46">
        <v>26</v>
      </c>
      <c r="E52" s="46">
        <v>22</v>
      </c>
      <c r="F52" s="46">
        <v>17</v>
      </c>
      <c r="G52" s="46">
        <v>24</v>
      </c>
      <c r="H52" s="46">
        <v>28</v>
      </c>
      <c r="I52" s="46">
        <v>23</v>
      </c>
      <c r="J52" s="46">
        <v>23</v>
      </c>
      <c r="K52" s="46">
        <v>23</v>
      </c>
      <c r="L52" s="46">
        <v>20</v>
      </c>
      <c r="M52" s="46">
        <v>24</v>
      </c>
      <c r="N52" s="46">
        <v>257</v>
      </c>
    </row>
    <row r="53" spans="1:14" ht="15.75" customHeight="1" x14ac:dyDescent="0.3">
      <c r="A53" s="45" t="s">
        <v>69</v>
      </c>
      <c r="B53" s="46">
        <v>18</v>
      </c>
      <c r="C53" s="46">
        <v>16</v>
      </c>
      <c r="D53" s="46">
        <v>25</v>
      </c>
      <c r="E53" s="46">
        <v>22</v>
      </c>
      <c r="F53" s="46">
        <v>21</v>
      </c>
      <c r="G53" s="46">
        <v>26</v>
      </c>
      <c r="H53" s="46">
        <v>27</v>
      </c>
      <c r="I53" s="46">
        <v>29</v>
      </c>
      <c r="J53" s="46">
        <v>23</v>
      </c>
      <c r="K53" s="46">
        <v>29</v>
      </c>
      <c r="L53" s="46">
        <v>15</v>
      </c>
      <c r="M53" s="46">
        <v>24</v>
      </c>
      <c r="N53" s="46">
        <v>275</v>
      </c>
    </row>
    <row r="54" spans="1:14" ht="15.75" customHeight="1" x14ac:dyDescent="0.3">
      <c r="A54" s="45" t="s">
        <v>70</v>
      </c>
      <c r="B54" s="46">
        <v>34</v>
      </c>
      <c r="C54" s="46">
        <v>33</v>
      </c>
      <c r="D54" s="46">
        <v>35</v>
      </c>
      <c r="E54" s="46">
        <v>36</v>
      </c>
      <c r="F54" s="46">
        <v>31</v>
      </c>
      <c r="G54" s="46">
        <v>34</v>
      </c>
      <c r="H54" s="46">
        <v>38</v>
      </c>
      <c r="I54" s="46">
        <v>45</v>
      </c>
      <c r="J54" s="46">
        <v>33</v>
      </c>
      <c r="K54" s="46">
        <v>39</v>
      </c>
      <c r="L54" s="46">
        <v>34</v>
      </c>
      <c r="M54" s="46">
        <v>40</v>
      </c>
      <c r="N54" s="46">
        <v>432</v>
      </c>
    </row>
    <row r="55" spans="1:14" ht="15.75" customHeight="1" x14ac:dyDescent="0.3">
      <c r="A55" s="45" t="s">
        <v>71</v>
      </c>
      <c r="B55" s="46">
        <v>5</v>
      </c>
      <c r="C55" s="46">
        <v>6</v>
      </c>
      <c r="D55" s="46">
        <v>7</v>
      </c>
      <c r="E55" s="46">
        <v>8</v>
      </c>
      <c r="F55" s="46">
        <v>7</v>
      </c>
      <c r="G55" s="46">
        <v>6</v>
      </c>
      <c r="H55" s="46">
        <v>11</v>
      </c>
      <c r="I55" s="46">
        <v>4</v>
      </c>
      <c r="J55" s="46">
        <v>9</v>
      </c>
      <c r="K55" s="46">
        <v>11</v>
      </c>
      <c r="L55" s="46">
        <v>2</v>
      </c>
      <c r="M55" s="46">
        <v>2</v>
      </c>
      <c r="N55" s="46">
        <v>78</v>
      </c>
    </row>
    <row r="56" spans="1:14" ht="15.75" customHeight="1" x14ac:dyDescent="0.3">
      <c r="A56" s="45" t="s">
        <v>72</v>
      </c>
      <c r="B56" s="46">
        <v>1</v>
      </c>
      <c r="C56" s="46">
        <v>4</v>
      </c>
      <c r="D56" s="46">
        <v>4</v>
      </c>
      <c r="E56" s="46">
        <v>3</v>
      </c>
      <c r="F56" s="46">
        <v>1</v>
      </c>
      <c r="G56" s="46">
        <v>2</v>
      </c>
      <c r="H56" s="46">
        <v>2</v>
      </c>
      <c r="I56" s="46">
        <v>3</v>
      </c>
      <c r="J56" s="46">
        <v>8</v>
      </c>
      <c r="K56" s="46">
        <v>4</v>
      </c>
      <c r="L56" s="46">
        <v>4</v>
      </c>
      <c r="M56" s="46">
        <v>7</v>
      </c>
      <c r="N56" s="46">
        <v>43</v>
      </c>
    </row>
    <row r="57" spans="1:14" ht="15.75" customHeight="1" x14ac:dyDescent="0.3">
      <c r="A57" s="45" t="s">
        <v>73</v>
      </c>
      <c r="B57" s="46">
        <v>1</v>
      </c>
      <c r="C57" s="46">
        <v>0</v>
      </c>
      <c r="D57" s="46">
        <v>0</v>
      </c>
      <c r="E57" s="46">
        <v>1</v>
      </c>
      <c r="F57" s="46">
        <v>1</v>
      </c>
      <c r="G57" s="46">
        <v>3</v>
      </c>
      <c r="H57" s="46">
        <v>2</v>
      </c>
      <c r="I57" s="46">
        <v>1</v>
      </c>
      <c r="J57" s="46">
        <v>1</v>
      </c>
      <c r="K57" s="46">
        <v>1</v>
      </c>
      <c r="L57" s="46">
        <v>2</v>
      </c>
      <c r="M57" s="46">
        <v>4</v>
      </c>
      <c r="N57" s="46">
        <v>17</v>
      </c>
    </row>
    <row r="58" spans="1:14" ht="15.75" customHeight="1" x14ac:dyDescent="0.3">
      <c r="A58" s="45" t="s">
        <v>74</v>
      </c>
      <c r="B58" s="46">
        <v>24</v>
      </c>
      <c r="C58" s="46">
        <v>13</v>
      </c>
      <c r="D58" s="46">
        <v>22</v>
      </c>
      <c r="E58" s="46">
        <v>16</v>
      </c>
      <c r="F58" s="46">
        <v>20</v>
      </c>
      <c r="G58" s="46">
        <v>31</v>
      </c>
      <c r="H58" s="46">
        <v>32</v>
      </c>
      <c r="I58" s="46">
        <v>20</v>
      </c>
      <c r="J58" s="46">
        <v>26</v>
      </c>
      <c r="K58" s="46">
        <v>29</v>
      </c>
      <c r="L58" s="46">
        <v>21</v>
      </c>
      <c r="M58" s="46">
        <v>21</v>
      </c>
      <c r="N58" s="46">
        <v>275</v>
      </c>
    </row>
    <row r="59" spans="1:14" ht="15.75" customHeight="1" x14ac:dyDescent="0.3">
      <c r="A59" s="45" t="s">
        <v>75</v>
      </c>
      <c r="B59" s="46">
        <v>3</v>
      </c>
      <c r="C59" s="46">
        <v>2</v>
      </c>
      <c r="D59" s="46">
        <v>3</v>
      </c>
      <c r="E59" s="46">
        <v>4</v>
      </c>
      <c r="F59" s="46">
        <v>4</v>
      </c>
      <c r="G59" s="46">
        <v>3</v>
      </c>
      <c r="H59" s="46">
        <v>8</v>
      </c>
      <c r="I59" s="46">
        <v>3</v>
      </c>
      <c r="J59" s="46">
        <v>4</v>
      </c>
      <c r="K59" s="46">
        <v>2</v>
      </c>
      <c r="L59" s="46">
        <v>5</v>
      </c>
      <c r="M59" s="46">
        <v>5</v>
      </c>
      <c r="N59" s="46">
        <v>46</v>
      </c>
    </row>
    <row r="60" spans="1:14" ht="15.75" customHeight="1" x14ac:dyDescent="0.3">
      <c r="A60" s="45" t="s">
        <v>76</v>
      </c>
      <c r="B60" s="46">
        <v>21</v>
      </c>
      <c r="C60" s="46">
        <v>33</v>
      </c>
      <c r="D60" s="46">
        <v>32</v>
      </c>
      <c r="E60" s="46">
        <v>30</v>
      </c>
      <c r="F60" s="46">
        <v>33</v>
      </c>
      <c r="G60" s="46">
        <v>32</v>
      </c>
      <c r="H60" s="46">
        <v>42</v>
      </c>
      <c r="I60" s="46">
        <v>42</v>
      </c>
      <c r="J60" s="46">
        <v>30</v>
      </c>
      <c r="K60" s="46">
        <v>40</v>
      </c>
      <c r="L60" s="46">
        <v>36</v>
      </c>
      <c r="M60" s="46">
        <v>40</v>
      </c>
      <c r="N60" s="46">
        <v>411</v>
      </c>
    </row>
    <row r="61" spans="1:14" ht="15.75" customHeight="1" x14ac:dyDescent="0.3">
      <c r="A61" s="45" t="s">
        <v>77</v>
      </c>
      <c r="B61" s="46">
        <v>9</v>
      </c>
      <c r="C61" s="46">
        <v>8</v>
      </c>
      <c r="D61" s="46">
        <v>5</v>
      </c>
      <c r="E61" s="46">
        <v>13</v>
      </c>
      <c r="F61" s="46">
        <v>9</v>
      </c>
      <c r="G61" s="46">
        <v>14</v>
      </c>
      <c r="H61" s="46">
        <v>12</v>
      </c>
      <c r="I61" s="46">
        <v>10</v>
      </c>
      <c r="J61" s="46">
        <v>19</v>
      </c>
      <c r="K61" s="46">
        <v>9</v>
      </c>
      <c r="L61" s="46">
        <v>10</v>
      </c>
      <c r="M61" s="46">
        <v>13</v>
      </c>
      <c r="N61" s="46">
        <v>131</v>
      </c>
    </row>
    <row r="62" spans="1:14" ht="15.75" customHeight="1" x14ac:dyDescent="0.3">
      <c r="A62" s="45" t="s">
        <v>78</v>
      </c>
      <c r="B62" s="46">
        <v>3</v>
      </c>
      <c r="C62" s="46">
        <v>3</v>
      </c>
      <c r="D62" s="46">
        <v>5</v>
      </c>
      <c r="E62" s="46">
        <v>7</v>
      </c>
      <c r="F62" s="46">
        <v>5</v>
      </c>
      <c r="G62" s="46">
        <v>6</v>
      </c>
      <c r="H62" s="46">
        <v>4</v>
      </c>
      <c r="I62" s="46">
        <v>8</v>
      </c>
      <c r="J62" s="46">
        <v>5</v>
      </c>
      <c r="K62" s="46">
        <v>6</v>
      </c>
      <c r="L62" s="46">
        <v>7</v>
      </c>
      <c r="M62" s="46">
        <v>5</v>
      </c>
      <c r="N62" s="46">
        <v>64</v>
      </c>
    </row>
    <row r="63" spans="1:14" ht="15.75" customHeight="1" x14ac:dyDescent="0.3">
      <c r="A63" s="58" t="s">
        <v>276</v>
      </c>
      <c r="B63" s="46">
        <v>1275</v>
      </c>
      <c r="C63" s="46">
        <v>1262</v>
      </c>
      <c r="D63" s="46">
        <v>1529</v>
      </c>
      <c r="E63" s="46">
        <v>1544</v>
      </c>
      <c r="F63" s="46">
        <v>1752</v>
      </c>
      <c r="G63" s="46">
        <v>1660</v>
      </c>
      <c r="H63" s="46">
        <v>1863</v>
      </c>
      <c r="I63" s="46">
        <v>1783</v>
      </c>
      <c r="J63" s="46">
        <v>1820</v>
      </c>
      <c r="K63" s="46">
        <v>1972</v>
      </c>
      <c r="L63" s="46">
        <v>1667</v>
      </c>
      <c r="M63" s="46">
        <v>1659</v>
      </c>
      <c r="N63" s="46">
        <v>19786</v>
      </c>
    </row>
    <row r="64" spans="1:14" ht="15.5" x14ac:dyDescent="0.35">
      <c r="A64"/>
      <c r="B64"/>
    </row>
    <row r="65" spans="1:2" ht="15.5" x14ac:dyDescent="0.35">
      <c r="A65"/>
      <c r="B65"/>
    </row>
    <row r="66" spans="1:2" ht="15.5" x14ac:dyDescent="0.35">
      <c r="A66"/>
      <c r="B66"/>
    </row>
    <row r="67" spans="1:2" ht="15.5" x14ac:dyDescent="0.35">
      <c r="A67"/>
      <c r="B67"/>
    </row>
    <row r="68" spans="1:2" ht="15.5" x14ac:dyDescent="0.35">
      <c r="A68"/>
      <c r="B68"/>
    </row>
    <row r="69" spans="1:2" ht="15.5" x14ac:dyDescent="0.35">
      <c r="A69"/>
      <c r="B69"/>
    </row>
    <row r="70" spans="1:2" ht="15.5" x14ac:dyDescent="0.35">
      <c r="A70"/>
      <c r="B70"/>
    </row>
    <row r="71" spans="1:2" ht="15.5" x14ac:dyDescent="0.35">
      <c r="A71"/>
      <c r="B71"/>
    </row>
    <row r="72" spans="1:2" ht="15.5" x14ac:dyDescent="0.35">
      <c r="A72"/>
      <c r="B72"/>
    </row>
    <row r="73" spans="1:2" ht="15.5" x14ac:dyDescent="0.35">
      <c r="A73"/>
      <c r="B73"/>
    </row>
    <row r="74" spans="1:2" ht="15.5" x14ac:dyDescent="0.35">
      <c r="A74"/>
      <c r="B74"/>
    </row>
    <row r="75" spans="1:2" ht="15.5" x14ac:dyDescent="0.35">
      <c r="A75"/>
      <c r="B75"/>
    </row>
    <row r="76" spans="1:2" ht="15.5" x14ac:dyDescent="0.35">
      <c r="A76"/>
      <c r="B76"/>
    </row>
    <row r="77" spans="1:2" ht="15.5" x14ac:dyDescent="0.35">
      <c r="A77"/>
      <c r="B77"/>
    </row>
    <row r="78" spans="1:2" ht="15.5" x14ac:dyDescent="0.35">
      <c r="A78"/>
      <c r="B78"/>
    </row>
    <row r="79" spans="1:2" ht="15.5" x14ac:dyDescent="0.35">
      <c r="A79"/>
      <c r="B79"/>
    </row>
    <row r="80" spans="1:2" ht="15.5" x14ac:dyDescent="0.35">
      <c r="A80"/>
      <c r="B80"/>
    </row>
    <row r="81" spans="1:2" ht="15.5" x14ac:dyDescent="0.35">
      <c r="A81"/>
      <c r="B81"/>
    </row>
    <row r="82" spans="1:2" ht="15.5" x14ac:dyDescent="0.35">
      <c r="A82"/>
      <c r="B82"/>
    </row>
    <row r="83" spans="1:2" ht="15.5" x14ac:dyDescent="0.35">
      <c r="A83"/>
      <c r="B83"/>
    </row>
    <row r="84" spans="1:2" ht="15.5" x14ac:dyDescent="0.35">
      <c r="A84"/>
      <c r="B84"/>
    </row>
    <row r="85" spans="1:2" ht="15.5" x14ac:dyDescent="0.35">
      <c r="A85"/>
      <c r="B85"/>
    </row>
    <row r="86" spans="1:2" ht="15.5" x14ac:dyDescent="0.35">
      <c r="A86"/>
      <c r="B86"/>
    </row>
    <row r="87" spans="1:2" ht="15.5" x14ac:dyDescent="0.35">
      <c r="A87"/>
      <c r="B87"/>
    </row>
    <row r="88" spans="1:2" ht="15.5" x14ac:dyDescent="0.35">
      <c r="A88"/>
      <c r="B88"/>
    </row>
    <row r="89" spans="1:2" ht="15.5" x14ac:dyDescent="0.35">
      <c r="A89"/>
      <c r="B89"/>
    </row>
    <row r="90" spans="1:2" ht="15.5" x14ac:dyDescent="0.35">
      <c r="A90"/>
      <c r="B90"/>
    </row>
    <row r="91" spans="1:2" ht="15.5" x14ac:dyDescent="0.35">
      <c r="A91"/>
      <c r="B91"/>
    </row>
    <row r="92" spans="1:2" ht="15.5" x14ac:dyDescent="0.35">
      <c r="A92"/>
      <c r="B92"/>
    </row>
    <row r="93" spans="1:2" ht="15.5" x14ac:dyDescent="0.35">
      <c r="A93"/>
      <c r="B93"/>
    </row>
    <row r="94" spans="1:2" ht="15.5" x14ac:dyDescent="0.35">
      <c r="A94"/>
      <c r="B94"/>
    </row>
    <row r="95" spans="1:2" ht="15.5" x14ac:dyDescent="0.35">
      <c r="A95"/>
      <c r="B95"/>
    </row>
    <row r="96" spans="1:2" ht="15.5" x14ac:dyDescent="0.35">
      <c r="A96"/>
      <c r="B96"/>
    </row>
    <row r="97" spans="1:2" ht="15.5" x14ac:dyDescent="0.35">
      <c r="A97"/>
      <c r="B97"/>
    </row>
    <row r="98" spans="1:2" ht="15.5" x14ac:dyDescent="0.35">
      <c r="A98"/>
      <c r="B98"/>
    </row>
    <row r="99" spans="1:2" ht="15.5" x14ac:dyDescent="0.35">
      <c r="A99"/>
      <c r="B99"/>
    </row>
    <row r="100" spans="1:2" ht="15.5" x14ac:dyDescent="0.35">
      <c r="A100"/>
      <c r="B100"/>
    </row>
    <row r="101" spans="1:2" ht="15.5" x14ac:dyDescent="0.35">
      <c r="A101"/>
      <c r="B101"/>
    </row>
    <row r="102" spans="1:2" ht="15.5" x14ac:dyDescent="0.35">
      <c r="A102"/>
      <c r="B102"/>
    </row>
    <row r="103" spans="1:2" ht="15.5" x14ac:dyDescent="0.35">
      <c r="A103"/>
      <c r="B103"/>
    </row>
    <row r="104" spans="1:2" ht="15.5" x14ac:dyDescent="0.35">
      <c r="A104"/>
      <c r="B104"/>
    </row>
    <row r="105" spans="1:2" ht="15.5" x14ac:dyDescent="0.35">
      <c r="A105"/>
      <c r="B105"/>
    </row>
    <row r="106" spans="1:2" ht="15.5" x14ac:dyDescent="0.35">
      <c r="A106"/>
      <c r="B106"/>
    </row>
    <row r="107" spans="1:2" ht="15.5" x14ac:dyDescent="0.35">
      <c r="A107"/>
      <c r="B107"/>
    </row>
    <row r="108" spans="1:2" ht="15.5" x14ac:dyDescent="0.35">
      <c r="A108"/>
      <c r="B108"/>
    </row>
    <row r="109" spans="1:2" ht="15.5" x14ac:dyDescent="0.35">
      <c r="A109"/>
      <c r="B109"/>
    </row>
    <row r="110" spans="1:2" ht="15.5" x14ac:dyDescent="0.35">
      <c r="A110"/>
      <c r="B110"/>
    </row>
    <row r="111" spans="1:2" ht="15.5" x14ac:dyDescent="0.35">
      <c r="A111"/>
      <c r="B111"/>
    </row>
    <row r="112" spans="1:2" ht="15.5" x14ac:dyDescent="0.35">
      <c r="A112"/>
      <c r="B112"/>
    </row>
    <row r="113" spans="1:2" ht="15.5" x14ac:dyDescent="0.35">
      <c r="A113"/>
      <c r="B113"/>
    </row>
    <row r="114" spans="1:2" ht="15.5" x14ac:dyDescent="0.35">
      <c r="A114"/>
      <c r="B114"/>
    </row>
    <row r="115" spans="1:2" ht="15.5" x14ac:dyDescent="0.35">
      <c r="A115"/>
      <c r="B115"/>
    </row>
    <row r="116" spans="1:2" ht="15.5" x14ac:dyDescent="0.35">
      <c r="A116"/>
      <c r="B116"/>
    </row>
    <row r="117" spans="1:2" ht="15.5" x14ac:dyDescent="0.35">
      <c r="A117"/>
      <c r="B117"/>
    </row>
    <row r="118" spans="1:2" ht="15.5" x14ac:dyDescent="0.35">
      <c r="A118"/>
      <c r="B118"/>
    </row>
    <row r="119" spans="1:2" ht="15.5" x14ac:dyDescent="0.35">
      <c r="A119"/>
      <c r="B119"/>
    </row>
    <row r="120" spans="1:2" ht="15.5" x14ac:dyDescent="0.35">
      <c r="A120"/>
      <c r="B120"/>
    </row>
    <row r="121" spans="1:2" ht="15.5" x14ac:dyDescent="0.35">
      <c r="A121"/>
      <c r="B121"/>
    </row>
    <row r="122" spans="1:2" ht="15.5" x14ac:dyDescent="0.35">
      <c r="A122"/>
      <c r="B122"/>
    </row>
    <row r="123" spans="1:2" ht="15.5" x14ac:dyDescent="0.35">
      <c r="A123"/>
      <c r="B123"/>
    </row>
    <row r="124" spans="1:2" ht="15.5" x14ac:dyDescent="0.35">
      <c r="A124"/>
      <c r="B124"/>
    </row>
    <row r="125" spans="1:2" ht="15.5" x14ac:dyDescent="0.35">
      <c r="A125"/>
      <c r="B125"/>
    </row>
    <row r="126" spans="1:2" ht="15.5" x14ac:dyDescent="0.35">
      <c r="A126"/>
      <c r="B126"/>
    </row>
    <row r="127" spans="1:2" ht="15.5" x14ac:dyDescent="0.35">
      <c r="A127"/>
      <c r="B127"/>
    </row>
    <row r="128" spans="1:2" ht="15.5" x14ac:dyDescent="0.35">
      <c r="A128"/>
      <c r="B128"/>
    </row>
    <row r="129" spans="1:2" ht="15.5" x14ac:dyDescent="0.35">
      <c r="A129"/>
      <c r="B129"/>
    </row>
    <row r="130" spans="1:2" ht="15.5" x14ac:dyDescent="0.35">
      <c r="A130"/>
      <c r="B130"/>
    </row>
    <row r="131" spans="1:2" ht="15.5" x14ac:dyDescent="0.35">
      <c r="A131"/>
      <c r="B131"/>
    </row>
    <row r="132" spans="1:2" ht="15.5" x14ac:dyDescent="0.35">
      <c r="A132"/>
      <c r="B132"/>
    </row>
    <row r="133" spans="1:2" ht="15.5" x14ac:dyDescent="0.35">
      <c r="A133"/>
      <c r="B133"/>
    </row>
    <row r="134" spans="1:2" ht="15.5" x14ac:dyDescent="0.35">
      <c r="A134"/>
      <c r="B134"/>
    </row>
    <row r="135" spans="1:2" ht="15.5" x14ac:dyDescent="0.35">
      <c r="A135"/>
      <c r="B135"/>
    </row>
    <row r="136" spans="1:2" ht="15.5" x14ac:dyDescent="0.35">
      <c r="A136"/>
      <c r="B136"/>
    </row>
    <row r="137" spans="1:2" ht="15.5" x14ac:dyDescent="0.35">
      <c r="A137"/>
      <c r="B137"/>
    </row>
    <row r="138" spans="1:2" ht="15.5" x14ac:dyDescent="0.35">
      <c r="A138"/>
      <c r="B138"/>
    </row>
    <row r="139" spans="1:2" ht="15.5" x14ac:dyDescent="0.35">
      <c r="A139"/>
      <c r="B139"/>
    </row>
    <row r="140" spans="1:2" ht="15.5" x14ac:dyDescent="0.35">
      <c r="A140"/>
      <c r="B140"/>
    </row>
    <row r="141" spans="1:2" ht="15.5" x14ac:dyDescent="0.35">
      <c r="A141"/>
      <c r="B141"/>
    </row>
    <row r="142" spans="1:2" ht="15.5" x14ac:dyDescent="0.35">
      <c r="A142"/>
      <c r="B142"/>
    </row>
    <row r="143" spans="1:2" ht="15.5" x14ac:dyDescent="0.35">
      <c r="A143"/>
      <c r="B143"/>
    </row>
    <row r="144" spans="1:2" ht="15.5" x14ac:dyDescent="0.35">
      <c r="A144"/>
      <c r="B144"/>
    </row>
    <row r="145" spans="1:2" ht="15.5" x14ac:dyDescent="0.35">
      <c r="A145"/>
      <c r="B145"/>
    </row>
    <row r="146" spans="1:2" ht="15.5" x14ac:dyDescent="0.35">
      <c r="A146"/>
      <c r="B146"/>
    </row>
    <row r="147" spans="1:2" ht="15.5" x14ac:dyDescent="0.35">
      <c r="A147"/>
      <c r="B147"/>
    </row>
    <row r="148" spans="1:2" ht="15.5" x14ac:dyDescent="0.35">
      <c r="A148"/>
      <c r="B148"/>
    </row>
    <row r="149" spans="1:2" ht="15.5" x14ac:dyDescent="0.35">
      <c r="A149"/>
      <c r="B149"/>
    </row>
    <row r="150" spans="1:2" ht="15.5" x14ac:dyDescent="0.35">
      <c r="A150"/>
      <c r="B150"/>
    </row>
    <row r="151" spans="1:2" ht="15.5" x14ac:dyDescent="0.35">
      <c r="A151"/>
      <c r="B151"/>
    </row>
    <row r="152" spans="1:2" ht="15.5" x14ac:dyDescent="0.35">
      <c r="A152"/>
      <c r="B152"/>
    </row>
    <row r="153" spans="1:2" ht="15.5" x14ac:dyDescent="0.35">
      <c r="A153"/>
      <c r="B153"/>
    </row>
    <row r="154" spans="1:2" ht="15.5" x14ac:dyDescent="0.35">
      <c r="A154"/>
      <c r="B154"/>
    </row>
    <row r="155" spans="1:2" ht="15.5" x14ac:dyDescent="0.35">
      <c r="A155"/>
      <c r="B155"/>
    </row>
    <row r="156" spans="1:2" ht="15.5" x14ac:dyDescent="0.35">
      <c r="A156"/>
      <c r="B156"/>
    </row>
    <row r="157" spans="1:2" ht="15.5" x14ac:dyDescent="0.35">
      <c r="A157"/>
      <c r="B157"/>
    </row>
    <row r="158" spans="1:2" ht="15.5" x14ac:dyDescent="0.35">
      <c r="A158"/>
      <c r="B158"/>
    </row>
    <row r="159" spans="1:2" ht="15.5" x14ac:dyDescent="0.35">
      <c r="A159"/>
      <c r="B159"/>
    </row>
    <row r="160" spans="1:2" ht="15.5" x14ac:dyDescent="0.35">
      <c r="A160"/>
      <c r="B160"/>
    </row>
    <row r="161" spans="1:2" ht="15.5" x14ac:dyDescent="0.35">
      <c r="A161"/>
      <c r="B161"/>
    </row>
    <row r="162" spans="1:2" ht="15.5" x14ac:dyDescent="0.35">
      <c r="A162"/>
      <c r="B162"/>
    </row>
    <row r="163" spans="1:2" ht="15.5" x14ac:dyDescent="0.35">
      <c r="A163"/>
      <c r="B163"/>
    </row>
    <row r="164" spans="1:2" ht="15.5" x14ac:dyDescent="0.35">
      <c r="A164"/>
      <c r="B164"/>
    </row>
    <row r="165" spans="1:2" ht="15.5" x14ac:dyDescent="0.35">
      <c r="A165"/>
      <c r="B165"/>
    </row>
    <row r="166" spans="1:2" ht="15.5" x14ac:dyDescent="0.35">
      <c r="A166"/>
      <c r="B166"/>
    </row>
    <row r="167" spans="1:2" ht="15.5" x14ac:dyDescent="0.35">
      <c r="A167"/>
      <c r="B167"/>
    </row>
    <row r="168" spans="1:2" ht="15.5" x14ac:dyDescent="0.35">
      <c r="A168"/>
      <c r="B168"/>
    </row>
    <row r="169" spans="1:2" ht="15.5" x14ac:dyDescent="0.35">
      <c r="A169"/>
      <c r="B169"/>
    </row>
    <row r="170" spans="1:2" ht="15.5" x14ac:dyDescent="0.35">
      <c r="A170"/>
      <c r="B170"/>
    </row>
    <row r="171" spans="1:2" ht="15.5" x14ac:dyDescent="0.35">
      <c r="A171"/>
      <c r="B171"/>
    </row>
    <row r="172" spans="1:2" ht="15.5" x14ac:dyDescent="0.35">
      <c r="A172"/>
      <c r="B172"/>
    </row>
    <row r="173" spans="1:2" ht="15.5" x14ac:dyDescent="0.35">
      <c r="A173"/>
      <c r="B173"/>
    </row>
    <row r="174" spans="1:2" ht="15.5" x14ac:dyDescent="0.35">
      <c r="A174"/>
      <c r="B174"/>
    </row>
    <row r="175" spans="1:2" ht="15.5" x14ac:dyDescent="0.35">
      <c r="A175"/>
      <c r="B175"/>
    </row>
    <row r="176" spans="1:2" ht="15.5" x14ac:dyDescent="0.35">
      <c r="A176"/>
      <c r="B176"/>
    </row>
    <row r="177" spans="1:2" ht="15.5" x14ac:dyDescent="0.35">
      <c r="A177"/>
      <c r="B177"/>
    </row>
    <row r="178" spans="1:2" ht="15.5" x14ac:dyDescent="0.35">
      <c r="A178"/>
      <c r="B178"/>
    </row>
    <row r="179" spans="1:2" ht="15.5" x14ac:dyDescent="0.35">
      <c r="A179"/>
      <c r="B179"/>
    </row>
    <row r="180" spans="1:2" ht="15.5" x14ac:dyDescent="0.35">
      <c r="A180"/>
      <c r="B180"/>
    </row>
    <row r="181" spans="1:2" ht="15.5" x14ac:dyDescent="0.35">
      <c r="A181"/>
      <c r="B181"/>
    </row>
    <row r="182" spans="1:2" ht="15.5" x14ac:dyDescent="0.35">
      <c r="A182"/>
      <c r="B182"/>
    </row>
    <row r="183" spans="1:2" ht="15.5" x14ac:dyDescent="0.35">
      <c r="A183"/>
      <c r="B183"/>
    </row>
    <row r="184" spans="1:2" ht="15.5" x14ac:dyDescent="0.35">
      <c r="A184"/>
      <c r="B184"/>
    </row>
    <row r="185" spans="1:2" ht="15.5" x14ac:dyDescent="0.35">
      <c r="A185"/>
      <c r="B185"/>
    </row>
    <row r="186" spans="1:2" ht="15.5" x14ac:dyDescent="0.35">
      <c r="A186"/>
      <c r="B186"/>
    </row>
  </sheetData>
  <pageMargins left="0.55000000000000004" right="0.55000000000000004" top="0.55000000000000004" bottom="0.55000000000000004" header="0.3" footer="0.3"/>
  <pageSetup scale="71" fitToHeight="0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9A63-7CC9-4A32-92C5-059D81D05120}">
  <sheetPr>
    <pageSetUpPr fitToPage="1"/>
  </sheetPr>
  <dimension ref="A1:N63"/>
  <sheetViews>
    <sheetView workbookViewId="0">
      <selection activeCell="A2" sqref="A2"/>
    </sheetView>
  </sheetViews>
  <sheetFormatPr defaultRowHeight="14.5" x14ac:dyDescent="0.35"/>
  <cols>
    <col min="1" max="1" width="17.81640625" bestFit="1" customWidth="1"/>
    <col min="2" max="2" width="10.453125" bestFit="1" customWidth="1"/>
    <col min="3" max="3" width="11.54296875" bestFit="1" customWidth="1"/>
    <col min="4" max="4" width="8.26953125" bestFit="1" customWidth="1"/>
    <col min="5" max="8" width="7.1796875" bestFit="1" customWidth="1"/>
    <col min="9" max="9" width="9.453125" bestFit="1" customWidth="1"/>
    <col min="10" max="10" width="14.1796875" bestFit="1" customWidth="1"/>
    <col min="11" max="11" width="10.453125" bestFit="1" customWidth="1"/>
    <col min="12" max="12" width="13.1796875" bestFit="1" customWidth="1"/>
    <col min="13" max="13" width="13" bestFit="1" customWidth="1"/>
    <col min="14" max="14" width="8.453125" bestFit="1" customWidth="1"/>
  </cols>
  <sheetData>
    <row r="1" spans="1:14" ht="17.5" x14ac:dyDescent="0.35">
      <c r="A1" s="2" t="str">
        <f>Parameters!$A$132</f>
        <v>TABLE 5P PERSONS INJURED IN ALCOHOL INVOLVED CRASHES BY COUNTY BY MONTH - 2021</v>
      </c>
    </row>
    <row r="3" spans="1:14" ht="15.5" x14ac:dyDescent="0.35">
      <c r="A3" s="59" t="s">
        <v>16</v>
      </c>
      <c r="B3" s="64" t="s">
        <v>16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ht="15.5" x14ac:dyDescent="0.35">
      <c r="A4" s="65" t="s">
        <v>277</v>
      </c>
      <c r="B4" s="66" t="s">
        <v>4</v>
      </c>
      <c r="C4" s="66" t="s">
        <v>5</v>
      </c>
      <c r="D4" s="66" t="s">
        <v>6</v>
      </c>
      <c r="E4" s="66" t="s">
        <v>7</v>
      </c>
      <c r="F4" s="66" t="s">
        <v>8</v>
      </c>
      <c r="G4" s="66" t="s">
        <v>9</v>
      </c>
      <c r="H4" s="66" t="s">
        <v>10</v>
      </c>
      <c r="I4" s="66" t="s">
        <v>11</v>
      </c>
      <c r="J4" s="66" t="s">
        <v>12</v>
      </c>
      <c r="K4" s="66" t="s">
        <v>13</v>
      </c>
      <c r="L4" s="66" t="s">
        <v>14</v>
      </c>
      <c r="M4" s="66" t="s">
        <v>15</v>
      </c>
      <c r="N4" s="66" t="s">
        <v>276</v>
      </c>
    </row>
    <row r="5" spans="1:14" ht="15.5" x14ac:dyDescent="0.35">
      <c r="A5" s="61" t="s">
        <v>21</v>
      </c>
      <c r="B5" s="62">
        <v>42</v>
      </c>
      <c r="C5" s="62">
        <v>51</v>
      </c>
      <c r="D5" s="62">
        <v>44</v>
      </c>
      <c r="E5" s="62">
        <v>63</v>
      </c>
      <c r="F5" s="62">
        <v>74</v>
      </c>
      <c r="G5" s="62">
        <v>83</v>
      </c>
      <c r="H5" s="62">
        <v>86</v>
      </c>
      <c r="I5" s="62">
        <v>66</v>
      </c>
      <c r="J5" s="62">
        <v>93</v>
      </c>
      <c r="K5" s="62">
        <v>108</v>
      </c>
      <c r="L5" s="62">
        <v>85</v>
      </c>
      <c r="M5" s="62">
        <v>72</v>
      </c>
      <c r="N5" s="62">
        <v>867</v>
      </c>
    </row>
    <row r="6" spans="1:14" ht="15.5" x14ac:dyDescent="0.35">
      <c r="A6" s="61" t="s">
        <v>22</v>
      </c>
      <c r="B6" s="62">
        <v>0</v>
      </c>
      <c r="C6" s="62">
        <v>1</v>
      </c>
      <c r="D6" s="62">
        <v>0</v>
      </c>
      <c r="E6" s="62">
        <v>0</v>
      </c>
      <c r="F6" s="62">
        <v>0</v>
      </c>
      <c r="G6" s="62">
        <v>2</v>
      </c>
      <c r="H6" s="62">
        <v>0</v>
      </c>
      <c r="I6" s="62">
        <v>1</v>
      </c>
      <c r="J6" s="62">
        <v>0</v>
      </c>
      <c r="K6" s="62">
        <v>0</v>
      </c>
      <c r="L6" s="62">
        <v>0</v>
      </c>
      <c r="M6" s="62">
        <v>0</v>
      </c>
      <c r="N6" s="62">
        <v>4</v>
      </c>
    </row>
    <row r="7" spans="1:14" ht="15.5" x14ac:dyDescent="0.35">
      <c r="A7" s="61" t="s">
        <v>23</v>
      </c>
      <c r="B7" s="62">
        <v>6</v>
      </c>
      <c r="C7" s="62">
        <v>0</v>
      </c>
      <c r="D7" s="62">
        <v>1</v>
      </c>
      <c r="E7" s="62">
        <v>9</v>
      </c>
      <c r="F7" s="62">
        <v>7</v>
      </c>
      <c r="G7" s="62">
        <v>5</v>
      </c>
      <c r="H7" s="62">
        <v>2</v>
      </c>
      <c r="I7" s="62">
        <v>3</v>
      </c>
      <c r="J7" s="62">
        <v>7</v>
      </c>
      <c r="K7" s="62">
        <v>8</v>
      </c>
      <c r="L7" s="62">
        <v>6</v>
      </c>
      <c r="M7" s="62">
        <v>0</v>
      </c>
      <c r="N7" s="62">
        <v>54</v>
      </c>
    </row>
    <row r="8" spans="1:14" ht="15.5" x14ac:dyDescent="0.35">
      <c r="A8" s="61" t="s">
        <v>24</v>
      </c>
      <c r="B8" s="62">
        <v>8</v>
      </c>
      <c r="C8" s="62">
        <v>11</v>
      </c>
      <c r="D8" s="62">
        <v>12</v>
      </c>
      <c r="E8" s="62">
        <v>23</v>
      </c>
      <c r="F8" s="62">
        <v>20</v>
      </c>
      <c r="G8" s="62">
        <v>19</v>
      </c>
      <c r="H8" s="62">
        <v>10</v>
      </c>
      <c r="I8" s="62">
        <v>23</v>
      </c>
      <c r="J8" s="62">
        <v>7</v>
      </c>
      <c r="K8" s="62">
        <v>22</v>
      </c>
      <c r="L8" s="62">
        <v>21</v>
      </c>
      <c r="M8" s="62">
        <v>17</v>
      </c>
      <c r="N8" s="62">
        <v>193</v>
      </c>
    </row>
    <row r="9" spans="1:14" ht="15.5" x14ac:dyDescent="0.35">
      <c r="A9" s="61" t="s">
        <v>25</v>
      </c>
      <c r="B9" s="62">
        <v>7</v>
      </c>
      <c r="C9" s="62">
        <v>1</v>
      </c>
      <c r="D9" s="62">
        <v>4</v>
      </c>
      <c r="E9" s="62">
        <v>10</v>
      </c>
      <c r="F9" s="62">
        <v>2</v>
      </c>
      <c r="G9" s="62">
        <v>4</v>
      </c>
      <c r="H9" s="62">
        <v>14</v>
      </c>
      <c r="I9" s="62">
        <v>2</v>
      </c>
      <c r="J9" s="62">
        <v>3</v>
      </c>
      <c r="K9" s="62">
        <v>4</v>
      </c>
      <c r="L9" s="62">
        <v>5</v>
      </c>
      <c r="M9" s="62">
        <v>5</v>
      </c>
      <c r="N9" s="62">
        <v>61</v>
      </c>
    </row>
    <row r="10" spans="1:14" ht="15.5" x14ac:dyDescent="0.35">
      <c r="A10" s="61" t="s">
        <v>26</v>
      </c>
      <c r="B10" s="62">
        <v>1</v>
      </c>
      <c r="C10" s="62">
        <v>3</v>
      </c>
      <c r="D10" s="62">
        <v>3</v>
      </c>
      <c r="E10" s="62">
        <v>7</v>
      </c>
      <c r="F10" s="62">
        <v>3</v>
      </c>
      <c r="G10" s="62">
        <v>1</v>
      </c>
      <c r="H10" s="62">
        <v>11</v>
      </c>
      <c r="I10" s="62">
        <v>3</v>
      </c>
      <c r="J10" s="62">
        <v>5</v>
      </c>
      <c r="K10" s="62">
        <v>6</v>
      </c>
      <c r="L10" s="62">
        <v>1</v>
      </c>
      <c r="M10" s="62">
        <v>2</v>
      </c>
      <c r="N10" s="62">
        <v>46</v>
      </c>
    </row>
    <row r="11" spans="1:14" ht="15.5" x14ac:dyDescent="0.35">
      <c r="A11" s="61" t="s">
        <v>27</v>
      </c>
      <c r="B11" s="62">
        <v>44</v>
      </c>
      <c r="C11" s="62">
        <v>38</v>
      </c>
      <c r="D11" s="62">
        <v>34</v>
      </c>
      <c r="E11" s="62">
        <v>48</v>
      </c>
      <c r="F11" s="62">
        <v>50</v>
      </c>
      <c r="G11" s="62">
        <v>37</v>
      </c>
      <c r="H11" s="62">
        <v>54</v>
      </c>
      <c r="I11" s="62">
        <v>37</v>
      </c>
      <c r="J11" s="62">
        <v>54</v>
      </c>
      <c r="K11" s="62">
        <v>61</v>
      </c>
      <c r="L11" s="62">
        <v>67</v>
      </c>
      <c r="M11" s="62">
        <v>56</v>
      </c>
      <c r="N11" s="62">
        <v>580</v>
      </c>
    </row>
    <row r="12" spans="1:14" ht="15.5" x14ac:dyDescent="0.35">
      <c r="A12" s="61" t="s">
        <v>28</v>
      </c>
      <c r="B12" s="62">
        <v>3</v>
      </c>
      <c r="C12" s="62">
        <v>0</v>
      </c>
      <c r="D12" s="62">
        <v>1</v>
      </c>
      <c r="E12" s="62">
        <v>2</v>
      </c>
      <c r="F12" s="62">
        <v>3</v>
      </c>
      <c r="G12" s="62">
        <v>1</v>
      </c>
      <c r="H12" s="62">
        <v>3</v>
      </c>
      <c r="I12" s="62">
        <v>4</v>
      </c>
      <c r="J12" s="62">
        <v>7</v>
      </c>
      <c r="K12" s="62">
        <v>2</v>
      </c>
      <c r="L12" s="62">
        <v>3</v>
      </c>
      <c r="M12" s="62">
        <v>2</v>
      </c>
      <c r="N12" s="62">
        <v>31</v>
      </c>
    </row>
    <row r="13" spans="1:14" ht="15.5" x14ac:dyDescent="0.35">
      <c r="A13" s="61" t="s">
        <v>29</v>
      </c>
      <c r="B13" s="62">
        <v>13</v>
      </c>
      <c r="C13" s="62">
        <v>7</v>
      </c>
      <c r="D13" s="62">
        <v>6</v>
      </c>
      <c r="E13" s="62">
        <v>14</v>
      </c>
      <c r="F13" s="62">
        <v>10</v>
      </c>
      <c r="G13" s="62">
        <v>20</v>
      </c>
      <c r="H13" s="62">
        <v>22</v>
      </c>
      <c r="I13" s="62">
        <v>23</v>
      </c>
      <c r="J13" s="62">
        <v>10</v>
      </c>
      <c r="K13" s="62">
        <v>10</v>
      </c>
      <c r="L13" s="62">
        <v>7</v>
      </c>
      <c r="M13" s="62">
        <v>10</v>
      </c>
      <c r="N13" s="62">
        <v>152</v>
      </c>
    </row>
    <row r="14" spans="1:14" ht="15.5" x14ac:dyDescent="0.35">
      <c r="A14" s="61" t="s">
        <v>30</v>
      </c>
      <c r="B14" s="62">
        <v>54</v>
      </c>
      <c r="C14" s="62">
        <v>28</v>
      </c>
      <c r="D14" s="62">
        <v>62</v>
      </c>
      <c r="E14" s="62">
        <v>46</v>
      </c>
      <c r="F14" s="62">
        <v>86</v>
      </c>
      <c r="G14" s="62">
        <v>64</v>
      </c>
      <c r="H14" s="62">
        <v>54</v>
      </c>
      <c r="I14" s="62">
        <v>84</v>
      </c>
      <c r="J14" s="62">
        <v>68</v>
      </c>
      <c r="K14" s="62">
        <v>85</v>
      </c>
      <c r="L14" s="62">
        <v>50</v>
      </c>
      <c r="M14" s="62">
        <v>49</v>
      </c>
      <c r="N14" s="62">
        <v>730</v>
      </c>
    </row>
    <row r="15" spans="1:14" ht="15.5" x14ac:dyDescent="0.35">
      <c r="A15" s="61" t="s">
        <v>31</v>
      </c>
      <c r="B15" s="62">
        <v>1</v>
      </c>
      <c r="C15" s="62">
        <v>0</v>
      </c>
      <c r="D15" s="62">
        <v>1</v>
      </c>
      <c r="E15" s="62">
        <v>4</v>
      </c>
      <c r="F15" s="62">
        <v>1</v>
      </c>
      <c r="G15" s="62">
        <v>2</v>
      </c>
      <c r="H15" s="62">
        <v>3</v>
      </c>
      <c r="I15" s="62">
        <v>3</v>
      </c>
      <c r="J15" s="62">
        <v>3</v>
      </c>
      <c r="K15" s="62">
        <v>5</v>
      </c>
      <c r="L15" s="62">
        <v>3</v>
      </c>
      <c r="M15" s="62">
        <v>0</v>
      </c>
      <c r="N15" s="62">
        <v>26</v>
      </c>
    </row>
    <row r="16" spans="1:14" ht="15.5" x14ac:dyDescent="0.35">
      <c r="A16" s="61" t="s">
        <v>32</v>
      </c>
      <c r="B16" s="62">
        <v>9</v>
      </c>
      <c r="C16" s="62">
        <v>9</v>
      </c>
      <c r="D16" s="62">
        <v>14</v>
      </c>
      <c r="E16" s="62">
        <v>7</v>
      </c>
      <c r="F16" s="62">
        <v>14</v>
      </c>
      <c r="G16" s="62">
        <v>6</v>
      </c>
      <c r="H16" s="62">
        <v>5</v>
      </c>
      <c r="I16" s="62">
        <v>13</v>
      </c>
      <c r="J16" s="62">
        <v>15</v>
      </c>
      <c r="K16" s="62">
        <v>12</v>
      </c>
      <c r="L16" s="62">
        <v>3</v>
      </c>
      <c r="M16" s="62">
        <v>11</v>
      </c>
      <c r="N16" s="62">
        <v>118</v>
      </c>
    </row>
    <row r="17" spans="1:14" ht="15.5" x14ac:dyDescent="0.35">
      <c r="A17" s="61" t="s">
        <v>33</v>
      </c>
      <c r="B17" s="62">
        <v>9</v>
      </c>
      <c r="C17" s="62">
        <v>4</v>
      </c>
      <c r="D17" s="62">
        <v>7</v>
      </c>
      <c r="E17" s="62">
        <v>6</v>
      </c>
      <c r="F17" s="62">
        <v>8</v>
      </c>
      <c r="G17" s="62">
        <v>10</v>
      </c>
      <c r="H17" s="62">
        <v>10</v>
      </c>
      <c r="I17" s="62">
        <v>7</v>
      </c>
      <c r="J17" s="62">
        <v>7</v>
      </c>
      <c r="K17" s="62">
        <v>7</v>
      </c>
      <c r="L17" s="62">
        <v>17</v>
      </c>
      <c r="M17" s="62">
        <v>8</v>
      </c>
      <c r="N17" s="62">
        <v>100</v>
      </c>
    </row>
    <row r="18" spans="1:14" ht="15.5" x14ac:dyDescent="0.35">
      <c r="A18" s="61" t="s">
        <v>34</v>
      </c>
      <c r="B18" s="62">
        <v>1</v>
      </c>
      <c r="C18" s="62">
        <v>0</v>
      </c>
      <c r="D18" s="62">
        <v>2</v>
      </c>
      <c r="E18" s="62">
        <v>3</v>
      </c>
      <c r="F18" s="62">
        <v>2</v>
      </c>
      <c r="G18" s="62">
        <v>2</v>
      </c>
      <c r="H18" s="62">
        <v>3</v>
      </c>
      <c r="I18" s="62">
        <v>2</v>
      </c>
      <c r="J18" s="62">
        <v>1</v>
      </c>
      <c r="K18" s="62">
        <v>3</v>
      </c>
      <c r="L18" s="62">
        <v>3</v>
      </c>
      <c r="M18" s="62">
        <v>0</v>
      </c>
      <c r="N18" s="62">
        <v>22</v>
      </c>
    </row>
    <row r="19" spans="1:14" ht="15.5" x14ac:dyDescent="0.35">
      <c r="A19" s="61" t="s">
        <v>35</v>
      </c>
      <c r="B19" s="62">
        <v>67</v>
      </c>
      <c r="C19" s="62">
        <v>55</v>
      </c>
      <c r="D19" s="62">
        <v>82</v>
      </c>
      <c r="E19" s="62">
        <v>66</v>
      </c>
      <c r="F19" s="62">
        <v>95</v>
      </c>
      <c r="G19" s="62">
        <v>45</v>
      </c>
      <c r="H19" s="62">
        <v>93</v>
      </c>
      <c r="I19" s="62">
        <v>43</v>
      </c>
      <c r="J19" s="62">
        <v>61</v>
      </c>
      <c r="K19" s="62">
        <v>94</v>
      </c>
      <c r="L19" s="62">
        <v>48</v>
      </c>
      <c r="M19" s="62">
        <v>56</v>
      </c>
      <c r="N19" s="62">
        <v>805</v>
      </c>
    </row>
    <row r="20" spans="1:14" ht="15.5" x14ac:dyDescent="0.35">
      <c r="A20" s="61" t="s">
        <v>36</v>
      </c>
      <c r="B20" s="62">
        <v>9</v>
      </c>
      <c r="C20" s="62">
        <v>10</v>
      </c>
      <c r="D20" s="62">
        <v>12</v>
      </c>
      <c r="E20" s="62">
        <v>8</v>
      </c>
      <c r="F20" s="62">
        <v>10</v>
      </c>
      <c r="G20" s="62">
        <v>15</v>
      </c>
      <c r="H20" s="62">
        <v>4</v>
      </c>
      <c r="I20" s="62">
        <v>5</v>
      </c>
      <c r="J20" s="62">
        <v>8</v>
      </c>
      <c r="K20" s="62">
        <v>25</v>
      </c>
      <c r="L20" s="62">
        <v>6</v>
      </c>
      <c r="M20" s="62">
        <v>15</v>
      </c>
      <c r="N20" s="62">
        <v>127</v>
      </c>
    </row>
    <row r="21" spans="1:14" ht="15.5" x14ac:dyDescent="0.35">
      <c r="A21" s="61" t="s">
        <v>37</v>
      </c>
      <c r="B21" s="62">
        <v>6</v>
      </c>
      <c r="C21" s="62">
        <v>6</v>
      </c>
      <c r="D21" s="62">
        <v>7</v>
      </c>
      <c r="E21" s="62">
        <v>7</v>
      </c>
      <c r="F21" s="62">
        <v>17</v>
      </c>
      <c r="G21" s="62">
        <v>3</v>
      </c>
      <c r="H21" s="62">
        <v>14</v>
      </c>
      <c r="I21" s="62">
        <v>16</v>
      </c>
      <c r="J21" s="62">
        <v>4</v>
      </c>
      <c r="K21" s="62">
        <v>9</v>
      </c>
      <c r="L21" s="62">
        <v>7</v>
      </c>
      <c r="M21" s="62">
        <v>7</v>
      </c>
      <c r="N21" s="62">
        <v>103</v>
      </c>
    </row>
    <row r="22" spans="1:14" ht="15.5" x14ac:dyDescent="0.35">
      <c r="A22" s="61" t="s">
        <v>38</v>
      </c>
      <c r="B22" s="62">
        <v>2</v>
      </c>
      <c r="C22" s="62">
        <v>5</v>
      </c>
      <c r="D22" s="62">
        <v>0</v>
      </c>
      <c r="E22" s="62">
        <v>0</v>
      </c>
      <c r="F22" s="62">
        <v>2</v>
      </c>
      <c r="G22" s="62">
        <v>2</v>
      </c>
      <c r="H22" s="62">
        <v>1</v>
      </c>
      <c r="I22" s="62">
        <v>2</v>
      </c>
      <c r="J22" s="62">
        <v>1</v>
      </c>
      <c r="K22" s="62">
        <v>0</v>
      </c>
      <c r="L22" s="62">
        <v>2</v>
      </c>
      <c r="M22" s="62">
        <v>1</v>
      </c>
      <c r="N22" s="62">
        <v>18</v>
      </c>
    </row>
    <row r="23" spans="1:14" ht="15.5" x14ac:dyDescent="0.35">
      <c r="A23" s="61" t="s">
        <v>39</v>
      </c>
      <c r="B23" s="62">
        <v>395</v>
      </c>
      <c r="C23" s="62">
        <v>422</v>
      </c>
      <c r="D23" s="62">
        <v>526</v>
      </c>
      <c r="E23" s="62">
        <v>543</v>
      </c>
      <c r="F23" s="62">
        <v>604</v>
      </c>
      <c r="G23" s="62">
        <v>574</v>
      </c>
      <c r="H23" s="62">
        <v>628</v>
      </c>
      <c r="I23" s="62">
        <v>616</v>
      </c>
      <c r="J23" s="62">
        <v>560</v>
      </c>
      <c r="K23" s="62">
        <v>660</v>
      </c>
      <c r="L23" s="62">
        <v>597</v>
      </c>
      <c r="M23" s="62">
        <v>577</v>
      </c>
      <c r="N23" s="62">
        <v>6702</v>
      </c>
    </row>
    <row r="24" spans="1:14" ht="15.5" x14ac:dyDescent="0.35">
      <c r="A24" s="61" t="s">
        <v>40</v>
      </c>
      <c r="B24" s="62">
        <v>13</v>
      </c>
      <c r="C24" s="62">
        <v>5</v>
      </c>
      <c r="D24" s="62">
        <v>16</v>
      </c>
      <c r="E24" s="62">
        <v>22</v>
      </c>
      <c r="F24" s="62">
        <v>11</v>
      </c>
      <c r="G24" s="62">
        <v>13</v>
      </c>
      <c r="H24" s="62">
        <v>16</v>
      </c>
      <c r="I24" s="62">
        <v>22</v>
      </c>
      <c r="J24" s="62">
        <v>9</v>
      </c>
      <c r="K24" s="62">
        <v>17</v>
      </c>
      <c r="L24" s="62">
        <v>14</v>
      </c>
      <c r="M24" s="62">
        <v>13</v>
      </c>
      <c r="N24" s="62">
        <v>171</v>
      </c>
    </row>
    <row r="25" spans="1:14" ht="15.5" x14ac:dyDescent="0.35">
      <c r="A25" s="61" t="s">
        <v>41</v>
      </c>
      <c r="B25" s="62">
        <v>7</v>
      </c>
      <c r="C25" s="62">
        <v>6</v>
      </c>
      <c r="D25" s="62">
        <v>14</v>
      </c>
      <c r="E25" s="62">
        <v>8</v>
      </c>
      <c r="F25" s="62">
        <v>9</v>
      </c>
      <c r="G25" s="62">
        <v>12</v>
      </c>
      <c r="H25" s="62">
        <v>12</v>
      </c>
      <c r="I25" s="62">
        <v>6</v>
      </c>
      <c r="J25" s="62">
        <v>12</v>
      </c>
      <c r="K25" s="62">
        <v>27</v>
      </c>
      <c r="L25" s="62">
        <v>11</v>
      </c>
      <c r="M25" s="62">
        <v>6</v>
      </c>
      <c r="N25" s="62">
        <v>130</v>
      </c>
    </row>
    <row r="26" spans="1:14" ht="15.5" x14ac:dyDescent="0.35">
      <c r="A26" s="61" t="s">
        <v>42</v>
      </c>
      <c r="B26" s="62">
        <v>0</v>
      </c>
      <c r="C26" s="62">
        <v>1</v>
      </c>
      <c r="D26" s="62">
        <v>1</v>
      </c>
      <c r="E26" s="62">
        <v>1</v>
      </c>
      <c r="F26" s="62">
        <v>3</v>
      </c>
      <c r="G26" s="62">
        <v>2</v>
      </c>
      <c r="H26" s="62">
        <v>0</v>
      </c>
      <c r="I26" s="62">
        <v>1</v>
      </c>
      <c r="J26" s="62">
        <v>0</v>
      </c>
      <c r="K26" s="62">
        <v>0</v>
      </c>
      <c r="L26" s="62">
        <v>4</v>
      </c>
      <c r="M26" s="62">
        <v>1</v>
      </c>
      <c r="N26" s="62">
        <v>14</v>
      </c>
    </row>
    <row r="27" spans="1:14" ht="15.5" x14ac:dyDescent="0.35">
      <c r="A27" s="61" t="s">
        <v>43</v>
      </c>
      <c r="B27" s="62">
        <v>5</v>
      </c>
      <c r="C27" s="62">
        <v>5</v>
      </c>
      <c r="D27" s="62">
        <v>5</v>
      </c>
      <c r="E27" s="62">
        <v>8</v>
      </c>
      <c r="F27" s="62">
        <v>13</v>
      </c>
      <c r="G27" s="62">
        <v>8</v>
      </c>
      <c r="H27" s="62">
        <v>11</v>
      </c>
      <c r="I27" s="62">
        <v>9</v>
      </c>
      <c r="J27" s="62">
        <v>5</v>
      </c>
      <c r="K27" s="62">
        <v>13</v>
      </c>
      <c r="L27" s="62">
        <v>6</v>
      </c>
      <c r="M27" s="62">
        <v>10</v>
      </c>
      <c r="N27" s="62">
        <v>98</v>
      </c>
    </row>
    <row r="28" spans="1:14" ht="15.5" x14ac:dyDescent="0.35">
      <c r="A28" s="61" t="s">
        <v>44</v>
      </c>
      <c r="B28" s="62">
        <v>27</v>
      </c>
      <c r="C28" s="62">
        <v>22</v>
      </c>
      <c r="D28" s="62">
        <v>22</v>
      </c>
      <c r="E28" s="62">
        <v>27</v>
      </c>
      <c r="F28" s="62">
        <v>29</v>
      </c>
      <c r="G28" s="62">
        <v>28</v>
      </c>
      <c r="H28" s="62">
        <v>23</v>
      </c>
      <c r="I28" s="62">
        <v>28</v>
      </c>
      <c r="J28" s="62">
        <v>30</v>
      </c>
      <c r="K28" s="62">
        <v>33</v>
      </c>
      <c r="L28" s="62">
        <v>10</v>
      </c>
      <c r="M28" s="62">
        <v>33</v>
      </c>
      <c r="N28" s="62">
        <v>312</v>
      </c>
    </row>
    <row r="29" spans="1:14" ht="15.5" x14ac:dyDescent="0.35">
      <c r="A29" s="61" t="s">
        <v>45</v>
      </c>
      <c r="B29" s="62">
        <v>0</v>
      </c>
      <c r="C29" s="62">
        <v>0</v>
      </c>
      <c r="D29" s="62">
        <v>2</v>
      </c>
      <c r="E29" s="62">
        <v>0</v>
      </c>
      <c r="F29" s="62">
        <v>0</v>
      </c>
      <c r="G29" s="62">
        <v>0</v>
      </c>
      <c r="H29" s="62">
        <v>5</v>
      </c>
      <c r="I29" s="62">
        <v>1</v>
      </c>
      <c r="J29" s="62">
        <v>1</v>
      </c>
      <c r="K29" s="62">
        <v>2</v>
      </c>
      <c r="L29" s="62">
        <v>1</v>
      </c>
      <c r="M29" s="62">
        <v>1</v>
      </c>
      <c r="N29" s="62">
        <v>13</v>
      </c>
    </row>
    <row r="30" spans="1:14" ht="15.5" x14ac:dyDescent="0.35">
      <c r="A30" s="61" t="s">
        <v>46</v>
      </c>
      <c r="B30" s="62">
        <v>0</v>
      </c>
      <c r="C30" s="62">
        <v>0</v>
      </c>
      <c r="D30" s="62">
        <v>1</v>
      </c>
      <c r="E30" s="62">
        <v>0</v>
      </c>
      <c r="F30" s="62">
        <v>2</v>
      </c>
      <c r="G30" s="62">
        <v>0</v>
      </c>
      <c r="H30" s="62">
        <v>0</v>
      </c>
      <c r="I30" s="62">
        <v>1</v>
      </c>
      <c r="J30" s="62">
        <v>2</v>
      </c>
      <c r="K30" s="62">
        <v>0</v>
      </c>
      <c r="L30" s="62">
        <v>1</v>
      </c>
      <c r="M30" s="62">
        <v>1</v>
      </c>
      <c r="N30" s="62">
        <v>8</v>
      </c>
    </row>
    <row r="31" spans="1:14" ht="15.5" x14ac:dyDescent="0.35">
      <c r="A31" s="61" t="s">
        <v>47</v>
      </c>
      <c r="B31" s="62">
        <v>11</v>
      </c>
      <c r="C31" s="62">
        <v>23</v>
      </c>
      <c r="D31" s="62">
        <v>34</v>
      </c>
      <c r="E31" s="62">
        <v>15</v>
      </c>
      <c r="F31" s="62">
        <v>28</v>
      </c>
      <c r="G31" s="62">
        <v>32</v>
      </c>
      <c r="H31" s="62">
        <v>38</v>
      </c>
      <c r="I31" s="62">
        <v>38</v>
      </c>
      <c r="J31" s="62">
        <v>50</v>
      </c>
      <c r="K31" s="62">
        <v>32</v>
      </c>
      <c r="L31" s="62">
        <v>21</v>
      </c>
      <c r="M31" s="62">
        <v>26</v>
      </c>
      <c r="N31" s="62">
        <v>348</v>
      </c>
    </row>
    <row r="32" spans="1:14" ht="15.5" x14ac:dyDescent="0.35">
      <c r="A32" s="61" t="s">
        <v>48</v>
      </c>
      <c r="B32" s="62">
        <v>4</v>
      </c>
      <c r="C32" s="62">
        <v>7</v>
      </c>
      <c r="D32" s="62">
        <v>5</v>
      </c>
      <c r="E32" s="62">
        <v>12</v>
      </c>
      <c r="F32" s="62">
        <v>8</v>
      </c>
      <c r="G32" s="62">
        <v>24</v>
      </c>
      <c r="H32" s="62">
        <v>19</v>
      </c>
      <c r="I32" s="62">
        <v>8</v>
      </c>
      <c r="J32" s="62">
        <v>5</v>
      </c>
      <c r="K32" s="62">
        <v>23</v>
      </c>
      <c r="L32" s="62">
        <v>12</v>
      </c>
      <c r="M32" s="62">
        <v>19</v>
      </c>
      <c r="N32" s="62">
        <v>146</v>
      </c>
    </row>
    <row r="33" spans="1:14" ht="15.5" x14ac:dyDescent="0.35">
      <c r="A33" s="61" t="s">
        <v>49</v>
      </c>
      <c r="B33" s="62">
        <v>15</v>
      </c>
      <c r="C33" s="62">
        <v>4</v>
      </c>
      <c r="D33" s="62">
        <v>7</v>
      </c>
      <c r="E33" s="62">
        <v>13</v>
      </c>
      <c r="F33" s="62">
        <v>8</v>
      </c>
      <c r="G33" s="62">
        <v>7</v>
      </c>
      <c r="H33" s="62">
        <v>9</v>
      </c>
      <c r="I33" s="62">
        <v>15</v>
      </c>
      <c r="J33" s="62">
        <v>12</v>
      </c>
      <c r="K33" s="62">
        <v>12</v>
      </c>
      <c r="L33" s="62">
        <v>7</v>
      </c>
      <c r="M33" s="62">
        <v>9</v>
      </c>
      <c r="N33" s="62">
        <v>118</v>
      </c>
    </row>
    <row r="34" spans="1:14" ht="15.5" x14ac:dyDescent="0.35">
      <c r="A34" s="61" t="s">
        <v>50</v>
      </c>
      <c r="B34" s="62">
        <v>115</v>
      </c>
      <c r="C34" s="62">
        <v>125</v>
      </c>
      <c r="D34" s="62">
        <v>185</v>
      </c>
      <c r="E34" s="62">
        <v>131</v>
      </c>
      <c r="F34" s="62">
        <v>160</v>
      </c>
      <c r="G34" s="62">
        <v>185</v>
      </c>
      <c r="H34" s="62">
        <v>177</v>
      </c>
      <c r="I34" s="62">
        <v>197</v>
      </c>
      <c r="J34" s="62">
        <v>209</v>
      </c>
      <c r="K34" s="62">
        <v>179</v>
      </c>
      <c r="L34" s="62">
        <v>130</v>
      </c>
      <c r="M34" s="62">
        <v>180</v>
      </c>
      <c r="N34" s="62">
        <v>1973</v>
      </c>
    </row>
    <row r="35" spans="1:14" ht="15.5" x14ac:dyDescent="0.35">
      <c r="A35" s="61" t="s">
        <v>51</v>
      </c>
      <c r="B35" s="62">
        <v>20</v>
      </c>
      <c r="C35" s="62">
        <v>22</v>
      </c>
      <c r="D35" s="62">
        <v>20</v>
      </c>
      <c r="E35" s="62">
        <v>26</v>
      </c>
      <c r="F35" s="62">
        <v>32</v>
      </c>
      <c r="G35" s="62">
        <v>23</v>
      </c>
      <c r="H35" s="62">
        <v>26</v>
      </c>
      <c r="I35" s="62">
        <v>30</v>
      </c>
      <c r="J35" s="62">
        <v>17</v>
      </c>
      <c r="K35" s="62">
        <v>18</v>
      </c>
      <c r="L35" s="62">
        <v>16</v>
      </c>
      <c r="M35" s="62">
        <v>30</v>
      </c>
      <c r="N35" s="62">
        <v>280</v>
      </c>
    </row>
    <row r="36" spans="1:14" ht="15.5" x14ac:dyDescent="0.35">
      <c r="A36" s="61" t="s">
        <v>52</v>
      </c>
      <c r="B36" s="62">
        <v>1</v>
      </c>
      <c r="C36" s="62">
        <v>2</v>
      </c>
      <c r="D36" s="62">
        <v>5</v>
      </c>
      <c r="E36" s="62">
        <v>0</v>
      </c>
      <c r="F36" s="62">
        <v>2</v>
      </c>
      <c r="G36" s="62">
        <v>1</v>
      </c>
      <c r="H36" s="62">
        <v>12</v>
      </c>
      <c r="I36" s="62">
        <v>4</v>
      </c>
      <c r="J36" s="62">
        <v>1</v>
      </c>
      <c r="K36" s="62">
        <v>1</v>
      </c>
      <c r="L36" s="62">
        <v>2</v>
      </c>
      <c r="M36" s="62">
        <v>0</v>
      </c>
      <c r="N36" s="62">
        <v>31</v>
      </c>
    </row>
    <row r="37" spans="1:14" ht="15.5" x14ac:dyDescent="0.35">
      <c r="A37" s="61" t="s">
        <v>53</v>
      </c>
      <c r="B37" s="62">
        <v>115</v>
      </c>
      <c r="C37" s="62">
        <v>122</v>
      </c>
      <c r="D37" s="62">
        <v>128</v>
      </c>
      <c r="E37" s="62">
        <v>159</v>
      </c>
      <c r="F37" s="62">
        <v>183</v>
      </c>
      <c r="G37" s="62">
        <v>176</v>
      </c>
      <c r="H37" s="62">
        <v>168</v>
      </c>
      <c r="I37" s="62">
        <v>195</v>
      </c>
      <c r="J37" s="62">
        <v>151</v>
      </c>
      <c r="K37" s="62">
        <v>169</v>
      </c>
      <c r="L37" s="62">
        <v>168</v>
      </c>
      <c r="M37" s="62">
        <v>174</v>
      </c>
      <c r="N37" s="62">
        <v>1908</v>
      </c>
    </row>
    <row r="38" spans="1:14" ht="15.5" x14ac:dyDescent="0.35">
      <c r="A38" s="61" t="s">
        <v>54</v>
      </c>
      <c r="B38" s="62">
        <v>88</v>
      </c>
      <c r="C38" s="62">
        <v>87</v>
      </c>
      <c r="D38" s="62">
        <v>100</v>
      </c>
      <c r="E38" s="62">
        <v>112</v>
      </c>
      <c r="F38" s="62">
        <v>116</v>
      </c>
      <c r="G38" s="62">
        <v>128</v>
      </c>
      <c r="H38" s="62">
        <v>101</v>
      </c>
      <c r="I38" s="62">
        <v>122</v>
      </c>
      <c r="J38" s="62">
        <v>154</v>
      </c>
      <c r="K38" s="62">
        <v>115</v>
      </c>
      <c r="L38" s="62">
        <v>103</v>
      </c>
      <c r="M38" s="62">
        <v>102</v>
      </c>
      <c r="N38" s="62">
        <v>1328</v>
      </c>
    </row>
    <row r="39" spans="1:14" ht="15.5" x14ac:dyDescent="0.35">
      <c r="A39" s="61" t="s">
        <v>55</v>
      </c>
      <c r="B39" s="62">
        <v>5</v>
      </c>
      <c r="C39" s="62">
        <v>3</v>
      </c>
      <c r="D39" s="62">
        <v>1</v>
      </c>
      <c r="E39" s="62">
        <v>5</v>
      </c>
      <c r="F39" s="62">
        <v>1</v>
      </c>
      <c r="G39" s="62">
        <v>4</v>
      </c>
      <c r="H39" s="62">
        <v>10</v>
      </c>
      <c r="I39" s="62">
        <v>2</v>
      </c>
      <c r="J39" s="62">
        <v>4</v>
      </c>
      <c r="K39" s="62">
        <v>9</v>
      </c>
      <c r="L39" s="62">
        <v>10</v>
      </c>
      <c r="M39" s="62">
        <v>2</v>
      </c>
      <c r="N39" s="62">
        <v>56</v>
      </c>
    </row>
    <row r="40" spans="1:14" ht="15.5" x14ac:dyDescent="0.35">
      <c r="A40" s="61" t="s">
        <v>56</v>
      </c>
      <c r="B40" s="62">
        <v>124</v>
      </c>
      <c r="C40" s="62">
        <v>100</v>
      </c>
      <c r="D40" s="62">
        <v>172</v>
      </c>
      <c r="E40" s="62">
        <v>172</v>
      </c>
      <c r="F40" s="62">
        <v>162</v>
      </c>
      <c r="G40" s="62">
        <v>142</v>
      </c>
      <c r="H40" s="62">
        <v>177</v>
      </c>
      <c r="I40" s="62">
        <v>125</v>
      </c>
      <c r="J40" s="62">
        <v>162</v>
      </c>
      <c r="K40" s="62">
        <v>200</v>
      </c>
      <c r="L40" s="62">
        <v>161</v>
      </c>
      <c r="M40" s="62">
        <v>160</v>
      </c>
      <c r="N40" s="62">
        <v>1857</v>
      </c>
    </row>
    <row r="41" spans="1:14" ht="15.5" x14ac:dyDescent="0.35">
      <c r="A41" s="61" t="s">
        <v>57</v>
      </c>
      <c r="B41" s="62">
        <v>171</v>
      </c>
      <c r="C41" s="62">
        <v>176</v>
      </c>
      <c r="D41" s="62">
        <v>216</v>
      </c>
      <c r="E41" s="62">
        <v>182</v>
      </c>
      <c r="F41" s="62">
        <v>250</v>
      </c>
      <c r="G41" s="62">
        <v>226</v>
      </c>
      <c r="H41" s="62">
        <v>291</v>
      </c>
      <c r="I41" s="62">
        <v>239</v>
      </c>
      <c r="J41" s="62">
        <v>237</v>
      </c>
      <c r="K41" s="62">
        <v>253</v>
      </c>
      <c r="L41" s="62">
        <v>261</v>
      </c>
      <c r="M41" s="62">
        <v>212</v>
      </c>
      <c r="N41" s="62">
        <v>2714</v>
      </c>
    </row>
    <row r="42" spans="1:14" ht="15.5" x14ac:dyDescent="0.35">
      <c r="A42" s="61" t="s">
        <v>58</v>
      </c>
      <c r="B42" s="62">
        <v>20</v>
      </c>
      <c r="C42" s="62">
        <v>16</v>
      </c>
      <c r="D42" s="62">
        <v>33</v>
      </c>
      <c r="E42" s="62">
        <v>34</v>
      </c>
      <c r="F42" s="62">
        <v>42</v>
      </c>
      <c r="G42" s="62">
        <v>32</v>
      </c>
      <c r="H42" s="62">
        <v>40</v>
      </c>
      <c r="I42" s="62">
        <v>44</v>
      </c>
      <c r="J42" s="62">
        <v>42</v>
      </c>
      <c r="K42" s="62">
        <v>48</v>
      </c>
      <c r="L42" s="62">
        <v>49</v>
      </c>
      <c r="M42" s="62">
        <v>22</v>
      </c>
      <c r="N42" s="62">
        <v>422</v>
      </c>
    </row>
    <row r="43" spans="1:14" ht="15.5" x14ac:dyDescent="0.35">
      <c r="A43" s="61" t="s">
        <v>59</v>
      </c>
      <c r="B43" s="62">
        <v>47</v>
      </c>
      <c r="C43" s="62">
        <v>43</v>
      </c>
      <c r="D43" s="62">
        <v>48</v>
      </c>
      <c r="E43" s="62">
        <v>59</v>
      </c>
      <c r="F43" s="62">
        <v>67</v>
      </c>
      <c r="G43" s="62">
        <v>43</v>
      </c>
      <c r="H43" s="62">
        <v>72</v>
      </c>
      <c r="I43" s="62">
        <v>71</v>
      </c>
      <c r="J43" s="62">
        <v>70</v>
      </c>
      <c r="K43" s="62">
        <v>68</v>
      </c>
      <c r="L43" s="62">
        <v>48</v>
      </c>
      <c r="M43" s="62">
        <v>54</v>
      </c>
      <c r="N43" s="62">
        <v>690</v>
      </c>
    </row>
    <row r="44" spans="1:14" ht="15.5" x14ac:dyDescent="0.35">
      <c r="A44" s="61" t="s">
        <v>60</v>
      </c>
      <c r="B44" s="62">
        <v>11</v>
      </c>
      <c r="C44" s="62">
        <v>14</v>
      </c>
      <c r="D44" s="62">
        <v>16</v>
      </c>
      <c r="E44" s="62">
        <v>16</v>
      </c>
      <c r="F44" s="62">
        <v>18</v>
      </c>
      <c r="G44" s="62">
        <v>19</v>
      </c>
      <c r="H44" s="62">
        <v>13</v>
      </c>
      <c r="I44" s="62">
        <v>17</v>
      </c>
      <c r="J44" s="62">
        <v>26</v>
      </c>
      <c r="K44" s="62">
        <v>27</v>
      </c>
      <c r="L44" s="62">
        <v>12</v>
      </c>
      <c r="M44" s="62">
        <v>28</v>
      </c>
      <c r="N44" s="62">
        <v>217</v>
      </c>
    </row>
    <row r="45" spans="1:14" ht="15.5" x14ac:dyDescent="0.35">
      <c r="A45" s="61" t="s">
        <v>61</v>
      </c>
      <c r="B45" s="62">
        <v>19</v>
      </c>
      <c r="C45" s="62">
        <v>25</v>
      </c>
      <c r="D45" s="62">
        <v>26</v>
      </c>
      <c r="E45" s="62">
        <v>37</v>
      </c>
      <c r="F45" s="62">
        <v>28</v>
      </c>
      <c r="G45" s="62">
        <v>36</v>
      </c>
      <c r="H45" s="62">
        <v>24</v>
      </c>
      <c r="I45" s="62">
        <v>30</v>
      </c>
      <c r="J45" s="62">
        <v>20</v>
      </c>
      <c r="K45" s="62">
        <v>24</v>
      </c>
      <c r="L45" s="62">
        <v>26</v>
      </c>
      <c r="M45" s="62">
        <v>31</v>
      </c>
      <c r="N45" s="62">
        <v>326</v>
      </c>
    </row>
    <row r="46" spans="1:14" ht="15.5" x14ac:dyDescent="0.35">
      <c r="A46" s="61" t="s">
        <v>62</v>
      </c>
      <c r="B46" s="62">
        <v>29</v>
      </c>
      <c r="C46" s="62">
        <v>22</v>
      </c>
      <c r="D46" s="62">
        <v>32</v>
      </c>
      <c r="E46" s="62">
        <v>20</v>
      </c>
      <c r="F46" s="62">
        <v>25</v>
      </c>
      <c r="G46" s="62">
        <v>45</v>
      </c>
      <c r="H46" s="62">
        <v>38</v>
      </c>
      <c r="I46" s="62">
        <v>38</v>
      </c>
      <c r="J46" s="62">
        <v>26</v>
      </c>
      <c r="K46" s="62">
        <v>26</v>
      </c>
      <c r="L46" s="62">
        <v>31</v>
      </c>
      <c r="M46" s="62">
        <v>29</v>
      </c>
      <c r="N46" s="62">
        <v>361</v>
      </c>
    </row>
    <row r="47" spans="1:14" ht="15.5" x14ac:dyDescent="0.35">
      <c r="A47" s="61" t="s">
        <v>63</v>
      </c>
      <c r="B47" s="62">
        <v>69</v>
      </c>
      <c r="C47" s="62">
        <v>67</v>
      </c>
      <c r="D47" s="62">
        <v>68</v>
      </c>
      <c r="E47" s="62">
        <v>53</v>
      </c>
      <c r="F47" s="62">
        <v>64</v>
      </c>
      <c r="G47" s="62">
        <v>83</v>
      </c>
      <c r="H47" s="62">
        <v>78</v>
      </c>
      <c r="I47" s="62">
        <v>80</v>
      </c>
      <c r="J47" s="62">
        <v>107</v>
      </c>
      <c r="K47" s="62">
        <v>116</v>
      </c>
      <c r="L47" s="62">
        <v>90</v>
      </c>
      <c r="M47" s="62">
        <v>91</v>
      </c>
      <c r="N47" s="62">
        <v>966</v>
      </c>
    </row>
    <row r="48" spans="1:14" ht="15.5" x14ac:dyDescent="0.35">
      <c r="A48" s="61" t="s">
        <v>64</v>
      </c>
      <c r="B48" s="62">
        <v>14</v>
      </c>
      <c r="C48" s="62">
        <v>22</v>
      </c>
      <c r="D48" s="62">
        <v>13</v>
      </c>
      <c r="E48" s="62">
        <v>15</v>
      </c>
      <c r="F48" s="62">
        <v>27</v>
      </c>
      <c r="G48" s="62">
        <v>30</v>
      </c>
      <c r="H48" s="62">
        <v>26</v>
      </c>
      <c r="I48" s="62">
        <v>19</v>
      </c>
      <c r="J48" s="62">
        <v>22</v>
      </c>
      <c r="K48" s="62">
        <v>11</v>
      </c>
      <c r="L48" s="62">
        <v>22</v>
      </c>
      <c r="M48" s="62">
        <v>15</v>
      </c>
      <c r="N48" s="62">
        <v>236</v>
      </c>
    </row>
    <row r="49" spans="1:14" ht="15.5" x14ac:dyDescent="0.35">
      <c r="A49" s="61" t="s">
        <v>65</v>
      </c>
      <c r="B49" s="62">
        <v>6</v>
      </c>
      <c r="C49" s="62">
        <v>8</v>
      </c>
      <c r="D49" s="62">
        <v>14</v>
      </c>
      <c r="E49" s="62">
        <v>28</v>
      </c>
      <c r="F49" s="62">
        <v>16</v>
      </c>
      <c r="G49" s="62">
        <v>13</v>
      </c>
      <c r="H49" s="62">
        <v>17</v>
      </c>
      <c r="I49" s="62">
        <v>15</v>
      </c>
      <c r="J49" s="62">
        <v>17</v>
      </c>
      <c r="K49" s="62">
        <v>21</v>
      </c>
      <c r="L49" s="62">
        <v>14</v>
      </c>
      <c r="M49" s="62">
        <v>9</v>
      </c>
      <c r="N49" s="62">
        <v>178</v>
      </c>
    </row>
    <row r="50" spans="1:14" ht="15.5" x14ac:dyDescent="0.35">
      <c r="A50" s="61" t="s">
        <v>66</v>
      </c>
      <c r="B50" s="62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1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1</v>
      </c>
    </row>
    <row r="51" spans="1:14" ht="15.5" x14ac:dyDescent="0.35">
      <c r="A51" s="61" t="s">
        <v>67</v>
      </c>
      <c r="B51" s="62">
        <v>5</v>
      </c>
      <c r="C51" s="62">
        <v>3</v>
      </c>
      <c r="D51" s="62">
        <v>2</v>
      </c>
      <c r="E51" s="62">
        <v>4</v>
      </c>
      <c r="F51" s="62">
        <v>3</v>
      </c>
      <c r="G51" s="62">
        <v>9</v>
      </c>
      <c r="H51" s="62">
        <v>4</v>
      </c>
      <c r="I51" s="62">
        <v>1</v>
      </c>
      <c r="J51" s="62">
        <v>2</v>
      </c>
      <c r="K51" s="62">
        <v>6</v>
      </c>
      <c r="L51" s="62">
        <v>5</v>
      </c>
      <c r="M51" s="62">
        <v>3</v>
      </c>
      <c r="N51" s="62">
        <v>47</v>
      </c>
    </row>
    <row r="52" spans="1:14" ht="15.5" x14ac:dyDescent="0.35">
      <c r="A52" s="61" t="s">
        <v>68</v>
      </c>
      <c r="B52" s="62">
        <v>16</v>
      </c>
      <c r="C52" s="62">
        <v>21</v>
      </c>
      <c r="D52" s="62">
        <v>42</v>
      </c>
      <c r="E52" s="62">
        <v>30</v>
      </c>
      <c r="F52" s="62">
        <v>21</v>
      </c>
      <c r="G52" s="62">
        <v>31</v>
      </c>
      <c r="H52" s="62">
        <v>36</v>
      </c>
      <c r="I52" s="62">
        <v>32</v>
      </c>
      <c r="J52" s="62">
        <v>30</v>
      </c>
      <c r="K52" s="62">
        <v>34</v>
      </c>
      <c r="L52" s="62">
        <v>27</v>
      </c>
      <c r="M52" s="62">
        <v>33</v>
      </c>
      <c r="N52" s="62">
        <v>353</v>
      </c>
    </row>
    <row r="53" spans="1:14" ht="15.5" x14ac:dyDescent="0.35">
      <c r="A53" s="61" t="s">
        <v>69</v>
      </c>
      <c r="B53" s="62">
        <v>25</v>
      </c>
      <c r="C53" s="62">
        <v>20</v>
      </c>
      <c r="D53" s="62">
        <v>40</v>
      </c>
      <c r="E53" s="62">
        <v>39</v>
      </c>
      <c r="F53" s="62">
        <v>25</v>
      </c>
      <c r="G53" s="62">
        <v>37</v>
      </c>
      <c r="H53" s="62">
        <v>36</v>
      </c>
      <c r="I53" s="62">
        <v>46</v>
      </c>
      <c r="J53" s="62">
        <v>34</v>
      </c>
      <c r="K53" s="62">
        <v>52</v>
      </c>
      <c r="L53" s="62">
        <v>19</v>
      </c>
      <c r="M53" s="62">
        <v>28</v>
      </c>
      <c r="N53" s="62">
        <v>401</v>
      </c>
    </row>
    <row r="54" spans="1:14" ht="15.5" x14ac:dyDescent="0.35">
      <c r="A54" s="61" t="s">
        <v>70</v>
      </c>
      <c r="B54" s="62">
        <v>40</v>
      </c>
      <c r="C54" s="62">
        <v>47</v>
      </c>
      <c r="D54" s="62">
        <v>55</v>
      </c>
      <c r="E54" s="62">
        <v>49</v>
      </c>
      <c r="F54" s="62">
        <v>58</v>
      </c>
      <c r="G54" s="62">
        <v>46</v>
      </c>
      <c r="H54" s="62">
        <v>44</v>
      </c>
      <c r="I54" s="62">
        <v>54</v>
      </c>
      <c r="J54" s="62">
        <v>49</v>
      </c>
      <c r="K54" s="62">
        <v>58</v>
      </c>
      <c r="L54" s="62">
        <v>54</v>
      </c>
      <c r="M54" s="62">
        <v>69</v>
      </c>
      <c r="N54" s="62">
        <v>623</v>
      </c>
    </row>
    <row r="55" spans="1:14" ht="15.5" x14ac:dyDescent="0.35">
      <c r="A55" s="61" t="s">
        <v>71</v>
      </c>
      <c r="B55" s="62">
        <v>7</v>
      </c>
      <c r="C55" s="62">
        <v>8</v>
      </c>
      <c r="D55" s="62">
        <v>7</v>
      </c>
      <c r="E55" s="62">
        <v>20</v>
      </c>
      <c r="F55" s="62">
        <v>8</v>
      </c>
      <c r="G55" s="62">
        <v>8</v>
      </c>
      <c r="H55" s="62">
        <v>16</v>
      </c>
      <c r="I55" s="62">
        <v>5</v>
      </c>
      <c r="J55" s="62">
        <v>12</v>
      </c>
      <c r="K55" s="62">
        <v>14</v>
      </c>
      <c r="L55" s="62">
        <v>3</v>
      </c>
      <c r="M55" s="62">
        <v>4</v>
      </c>
      <c r="N55" s="62">
        <v>112</v>
      </c>
    </row>
    <row r="56" spans="1:14" ht="15.5" x14ac:dyDescent="0.35">
      <c r="A56" s="61" t="s">
        <v>72</v>
      </c>
      <c r="B56" s="62">
        <v>1</v>
      </c>
      <c r="C56" s="62">
        <v>5</v>
      </c>
      <c r="D56" s="62">
        <v>4</v>
      </c>
      <c r="E56" s="62">
        <v>4</v>
      </c>
      <c r="F56" s="62">
        <v>1</v>
      </c>
      <c r="G56" s="62">
        <v>2</v>
      </c>
      <c r="H56" s="62">
        <v>5</v>
      </c>
      <c r="I56" s="62">
        <v>4</v>
      </c>
      <c r="J56" s="62">
        <v>11</v>
      </c>
      <c r="K56" s="62">
        <v>7</v>
      </c>
      <c r="L56" s="62">
        <v>5</v>
      </c>
      <c r="M56" s="62">
        <v>7</v>
      </c>
      <c r="N56" s="62">
        <v>56</v>
      </c>
    </row>
    <row r="57" spans="1:14" ht="15.5" x14ac:dyDescent="0.35">
      <c r="A57" s="61" t="s">
        <v>73</v>
      </c>
      <c r="B57" s="62">
        <v>1</v>
      </c>
      <c r="C57" s="62">
        <v>0</v>
      </c>
      <c r="D57" s="62">
        <v>0</v>
      </c>
      <c r="E57" s="62">
        <v>2</v>
      </c>
      <c r="F57" s="62">
        <v>5</v>
      </c>
      <c r="G57" s="62">
        <v>4</v>
      </c>
      <c r="H57" s="62">
        <v>5</v>
      </c>
      <c r="I57" s="62">
        <v>1</v>
      </c>
      <c r="J57" s="62">
        <v>2</v>
      </c>
      <c r="K57" s="62">
        <v>1</v>
      </c>
      <c r="L57" s="62">
        <v>2</v>
      </c>
      <c r="M57" s="62">
        <v>4</v>
      </c>
      <c r="N57" s="62">
        <v>27</v>
      </c>
    </row>
    <row r="58" spans="1:14" ht="15.5" x14ac:dyDescent="0.35">
      <c r="A58" s="61" t="s">
        <v>74</v>
      </c>
      <c r="B58" s="62">
        <v>30</v>
      </c>
      <c r="C58" s="62">
        <v>27</v>
      </c>
      <c r="D58" s="62">
        <v>34</v>
      </c>
      <c r="E58" s="62">
        <v>33</v>
      </c>
      <c r="F58" s="62">
        <v>23</v>
      </c>
      <c r="G58" s="62">
        <v>45</v>
      </c>
      <c r="H58" s="62">
        <v>49</v>
      </c>
      <c r="I58" s="62">
        <v>26</v>
      </c>
      <c r="J58" s="62">
        <v>47</v>
      </c>
      <c r="K58" s="62">
        <v>37</v>
      </c>
      <c r="L58" s="62">
        <v>32</v>
      </c>
      <c r="M58" s="62">
        <v>33</v>
      </c>
      <c r="N58" s="62">
        <v>416</v>
      </c>
    </row>
    <row r="59" spans="1:14" ht="15.5" x14ac:dyDescent="0.35">
      <c r="A59" s="61" t="s">
        <v>75</v>
      </c>
      <c r="B59" s="62">
        <v>3</v>
      </c>
      <c r="C59" s="62">
        <v>3</v>
      </c>
      <c r="D59" s="62">
        <v>5</v>
      </c>
      <c r="E59" s="62">
        <v>4</v>
      </c>
      <c r="F59" s="62">
        <v>6</v>
      </c>
      <c r="G59" s="62">
        <v>4</v>
      </c>
      <c r="H59" s="62">
        <v>9</v>
      </c>
      <c r="I59" s="62">
        <v>3</v>
      </c>
      <c r="J59" s="62">
        <v>6</v>
      </c>
      <c r="K59" s="62">
        <v>3</v>
      </c>
      <c r="L59" s="62">
        <v>9</v>
      </c>
      <c r="M59" s="62">
        <v>8</v>
      </c>
      <c r="N59" s="62">
        <v>63</v>
      </c>
    </row>
    <row r="60" spans="1:14" ht="15.5" x14ac:dyDescent="0.35">
      <c r="A60" s="61" t="s">
        <v>76</v>
      </c>
      <c r="B60" s="62">
        <v>24</v>
      </c>
      <c r="C60" s="62">
        <v>37</v>
      </c>
      <c r="D60" s="62">
        <v>38</v>
      </c>
      <c r="E60" s="62">
        <v>40</v>
      </c>
      <c r="F60" s="62">
        <v>51</v>
      </c>
      <c r="G60" s="62">
        <v>51</v>
      </c>
      <c r="H60" s="62">
        <v>58</v>
      </c>
      <c r="I60" s="62">
        <v>51</v>
      </c>
      <c r="J60" s="62">
        <v>38</v>
      </c>
      <c r="K60" s="62">
        <v>58</v>
      </c>
      <c r="L60" s="62">
        <v>51</v>
      </c>
      <c r="M60" s="62">
        <v>62</v>
      </c>
      <c r="N60" s="62">
        <v>559</v>
      </c>
    </row>
    <row r="61" spans="1:14" ht="15.5" x14ac:dyDescent="0.35">
      <c r="A61" s="61" t="s">
        <v>77</v>
      </c>
      <c r="B61" s="62">
        <v>10</v>
      </c>
      <c r="C61" s="62">
        <v>16</v>
      </c>
      <c r="D61" s="62">
        <v>7</v>
      </c>
      <c r="E61" s="62">
        <v>16</v>
      </c>
      <c r="F61" s="62">
        <v>14</v>
      </c>
      <c r="G61" s="62">
        <v>24</v>
      </c>
      <c r="H61" s="62">
        <v>16</v>
      </c>
      <c r="I61" s="62">
        <v>13</v>
      </c>
      <c r="J61" s="62">
        <v>26</v>
      </c>
      <c r="K61" s="62">
        <v>12</v>
      </c>
      <c r="L61" s="62">
        <v>14</v>
      </c>
      <c r="M61" s="62">
        <v>25</v>
      </c>
      <c r="N61" s="62">
        <v>193</v>
      </c>
    </row>
    <row r="62" spans="1:14" ht="15.5" x14ac:dyDescent="0.35">
      <c r="A62" s="61" t="s">
        <v>78</v>
      </c>
      <c r="B62" s="62">
        <v>7</v>
      </c>
      <c r="C62" s="62">
        <v>3</v>
      </c>
      <c r="D62" s="62">
        <v>7</v>
      </c>
      <c r="E62" s="62">
        <v>9</v>
      </c>
      <c r="F62" s="62">
        <v>12</v>
      </c>
      <c r="G62" s="62">
        <v>6</v>
      </c>
      <c r="H62" s="62">
        <v>4</v>
      </c>
      <c r="I62" s="62">
        <v>11</v>
      </c>
      <c r="J62" s="62">
        <v>5</v>
      </c>
      <c r="K62" s="62">
        <v>7</v>
      </c>
      <c r="L62" s="62">
        <v>12</v>
      </c>
      <c r="M62" s="62">
        <v>8</v>
      </c>
      <c r="N62" s="62">
        <v>91</v>
      </c>
    </row>
    <row r="63" spans="1:14" ht="15.5" x14ac:dyDescent="0.35">
      <c r="A63" s="67" t="s">
        <v>276</v>
      </c>
      <c r="B63" s="62">
        <v>1782</v>
      </c>
      <c r="C63" s="62">
        <v>1768</v>
      </c>
      <c r="D63" s="62">
        <v>2243</v>
      </c>
      <c r="E63" s="62">
        <v>2271</v>
      </c>
      <c r="F63" s="62">
        <v>2539</v>
      </c>
      <c r="G63" s="62">
        <v>2474</v>
      </c>
      <c r="H63" s="62">
        <v>2703</v>
      </c>
      <c r="I63" s="62">
        <v>2557</v>
      </c>
      <c r="J63" s="62">
        <v>2567</v>
      </c>
      <c r="K63" s="62">
        <v>2854</v>
      </c>
      <c r="L63" s="62">
        <v>2394</v>
      </c>
      <c r="M63" s="62">
        <v>2430</v>
      </c>
      <c r="N63" s="62">
        <v>28582</v>
      </c>
    </row>
  </sheetData>
  <pageMargins left="0.55000000000000004" right="0.55000000000000004" top="0.55000000000000004" bottom="0.55000000000000004" header="0.3" footer="0.3"/>
  <pageSetup scale="71" fitToHeight="0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94C1E-7A4E-47FF-A1D6-73C9F3A74166}">
  <sheetPr>
    <pageSetUpPr fitToPage="1"/>
  </sheetPr>
  <dimension ref="A1:Q67"/>
  <sheetViews>
    <sheetView workbookViewId="0">
      <selection activeCell="A2" sqref="A2"/>
    </sheetView>
  </sheetViews>
  <sheetFormatPr defaultColWidth="9.1796875" defaultRowHeight="15" x14ac:dyDescent="0.3"/>
  <cols>
    <col min="1" max="1" width="13.54296875" style="1" bestFit="1" customWidth="1"/>
    <col min="2" max="2" width="8.453125" style="1" customWidth="1"/>
    <col min="3" max="3" width="8.7265625" style="1" customWidth="1"/>
    <col min="4" max="4" width="13.453125" style="1" customWidth="1"/>
    <col min="5" max="5" width="8.7265625" style="1" customWidth="1"/>
    <col min="6" max="6" width="14" style="1" customWidth="1"/>
    <col min="7" max="7" width="8.7265625" style="1" customWidth="1"/>
    <col min="8" max="8" width="10.7265625" style="1" customWidth="1"/>
    <col min="9" max="9" width="8.7265625" style="1" customWidth="1"/>
    <col min="10" max="10" width="16.7265625" style="1" customWidth="1"/>
    <col min="11" max="11" width="8.7265625" style="1" customWidth="1"/>
    <col min="12" max="12" width="8.453125" style="1" customWidth="1"/>
    <col min="13" max="13" width="8.7265625" style="1" customWidth="1"/>
    <col min="14" max="14" width="11.7265625" style="1" customWidth="1"/>
    <col min="15" max="15" width="8.7265625" style="1" customWidth="1"/>
    <col min="16" max="16" width="15.453125" style="1" bestFit="1" customWidth="1"/>
    <col min="17" max="17" width="8.7265625" style="1" bestFit="1" customWidth="1"/>
    <col min="18" max="18" width="18.54296875" style="1" bestFit="1" customWidth="1"/>
    <col min="19" max="19" width="16" style="1" bestFit="1" customWidth="1"/>
    <col min="20" max="20" width="18.54296875" style="1" bestFit="1" customWidth="1"/>
    <col min="21" max="21" width="11.26953125" style="1" bestFit="1" customWidth="1"/>
    <col min="22" max="16384" width="9.1796875" style="1"/>
  </cols>
  <sheetData>
    <row r="1" spans="1:17" ht="17.5" x14ac:dyDescent="0.35">
      <c r="A1" s="2" t="str">
        <f>Parameters!$A$135</f>
        <v>TABLE 5Q PERSONS KILLED AND INJURED IN ALCOHOL INVOLVED CRASHES BY AGE BY VICTIM CLASSIFICATION - 2021</v>
      </c>
    </row>
    <row r="3" spans="1:17" ht="15.5" x14ac:dyDescent="0.35">
      <c r="B3" s="90" t="s">
        <v>16</v>
      </c>
      <c r="P3"/>
      <c r="Q3"/>
    </row>
    <row r="4" spans="1:17" ht="15.5" x14ac:dyDescent="0.35">
      <c r="B4" s="93" t="s">
        <v>218</v>
      </c>
      <c r="C4" s="93"/>
      <c r="D4" s="93" t="s">
        <v>219</v>
      </c>
      <c r="E4" s="93"/>
      <c r="F4" s="93" t="s">
        <v>220</v>
      </c>
      <c r="G4" s="93"/>
      <c r="H4" s="93" t="s">
        <v>221</v>
      </c>
      <c r="I4" s="93"/>
      <c r="J4" s="93" t="s">
        <v>293</v>
      </c>
      <c r="K4" s="93"/>
      <c r="L4" s="93" t="s">
        <v>95</v>
      </c>
      <c r="M4" s="93"/>
      <c r="N4" s="93" t="s">
        <v>294</v>
      </c>
      <c r="P4"/>
      <c r="Q4"/>
    </row>
    <row r="5" spans="1:17" ht="15.5" x14ac:dyDescent="0.35">
      <c r="A5" s="8" t="s">
        <v>282</v>
      </c>
      <c r="B5" s="10" t="s">
        <v>79</v>
      </c>
      <c r="C5" s="10" t="s">
        <v>80</v>
      </c>
      <c r="D5" s="10" t="s">
        <v>79</v>
      </c>
      <c r="E5" s="10" t="s">
        <v>80</v>
      </c>
      <c r="F5" s="10" t="s">
        <v>79</v>
      </c>
      <c r="G5" s="10" t="s">
        <v>80</v>
      </c>
      <c r="H5" s="10" t="s">
        <v>79</v>
      </c>
      <c r="I5" s="10" t="s">
        <v>80</v>
      </c>
      <c r="J5" s="10" t="s">
        <v>79</v>
      </c>
      <c r="K5" s="10" t="s">
        <v>80</v>
      </c>
      <c r="L5" s="10" t="s">
        <v>79</v>
      </c>
      <c r="M5" s="10" t="s">
        <v>80</v>
      </c>
      <c r="N5" s="10" t="s">
        <v>79</v>
      </c>
      <c r="O5" s="10" t="s">
        <v>80</v>
      </c>
      <c r="P5"/>
      <c r="Q5"/>
    </row>
    <row r="6" spans="1:17" ht="15.5" x14ac:dyDescent="0.35">
      <c r="A6" s="91" t="s">
        <v>222</v>
      </c>
      <c r="B6" s="92">
        <v>0</v>
      </c>
      <c r="C6" s="92">
        <v>13</v>
      </c>
      <c r="D6" s="92">
        <v>3</v>
      </c>
      <c r="E6" s="92">
        <v>214</v>
      </c>
      <c r="F6" s="92">
        <v>0</v>
      </c>
      <c r="G6" s="92">
        <v>7</v>
      </c>
      <c r="H6" s="92">
        <v>0</v>
      </c>
      <c r="I6" s="92">
        <v>1</v>
      </c>
      <c r="J6" s="92">
        <v>0</v>
      </c>
      <c r="K6" s="92">
        <v>2</v>
      </c>
      <c r="L6" s="92">
        <v>0</v>
      </c>
      <c r="M6" s="92">
        <v>1</v>
      </c>
      <c r="N6" s="92">
        <v>0</v>
      </c>
      <c r="O6" s="92">
        <v>0</v>
      </c>
      <c r="P6"/>
      <c r="Q6"/>
    </row>
    <row r="7" spans="1:17" ht="15.5" x14ac:dyDescent="0.35">
      <c r="A7" s="91" t="s">
        <v>223</v>
      </c>
      <c r="B7" s="92">
        <v>0</v>
      </c>
      <c r="C7" s="92">
        <v>0</v>
      </c>
      <c r="D7" s="92">
        <v>5</v>
      </c>
      <c r="E7" s="92">
        <v>72</v>
      </c>
      <c r="F7" s="92">
        <v>0</v>
      </c>
      <c r="G7" s="92">
        <v>1</v>
      </c>
      <c r="H7" s="92">
        <v>0</v>
      </c>
      <c r="I7" s="92">
        <v>0</v>
      </c>
      <c r="J7" s="92">
        <v>0</v>
      </c>
      <c r="K7" s="92">
        <v>0</v>
      </c>
      <c r="L7" s="92">
        <v>0</v>
      </c>
      <c r="M7" s="92">
        <v>0</v>
      </c>
      <c r="N7" s="92">
        <v>0</v>
      </c>
      <c r="O7" s="92">
        <v>0</v>
      </c>
      <c r="P7"/>
      <c r="Q7"/>
    </row>
    <row r="8" spans="1:17" ht="15.5" x14ac:dyDescent="0.35">
      <c r="A8" s="91" t="s">
        <v>224</v>
      </c>
      <c r="B8" s="92">
        <v>0</v>
      </c>
      <c r="C8" s="92">
        <v>2</v>
      </c>
      <c r="D8" s="92">
        <v>4</v>
      </c>
      <c r="E8" s="92">
        <v>79</v>
      </c>
      <c r="F8" s="92">
        <v>0</v>
      </c>
      <c r="G8" s="92">
        <v>3</v>
      </c>
      <c r="H8" s="92">
        <v>0</v>
      </c>
      <c r="I8" s="92">
        <v>0</v>
      </c>
      <c r="J8" s="92">
        <v>0</v>
      </c>
      <c r="K8" s="92">
        <v>1</v>
      </c>
      <c r="L8" s="92">
        <v>0</v>
      </c>
      <c r="M8" s="92">
        <v>0</v>
      </c>
      <c r="N8" s="92">
        <v>0</v>
      </c>
      <c r="O8" s="92">
        <v>0</v>
      </c>
      <c r="P8"/>
      <c r="Q8"/>
    </row>
    <row r="9" spans="1:17" ht="15.5" x14ac:dyDescent="0.35">
      <c r="A9" s="91" t="s">
        <v>225</v>
      </c>
      <c r="B9" s="92">
        <v>0</v>
      </c>
      <c r="C9" s="92">
        <v>2</v>
      </c>
      <c r="D9" s="92">
        <v>4</v>
      </c>
      <c r="E9" s="92">
        <v>95</v>
      </c>
      <c r="F9" s="92">
        <v>0</v>
      </c>
      <c r="G9" s="92">
        <v>3</v>
      </c>
      <c r="H9" s="92">
        <v>0</v>
      </c>
      <c r="I9" s="92">
        <v>2</v>
      </c>
      <c r="J9" s="92">
        <v>0</v>
      </c>
      <c r="K9" s="92">
        <v>0</v>
      </c>
      <c r="L9" s="92">
        <v>0</v>
      </c>
      <c r="M9" s="92">
        <v>1</v>
      </c>
      <c r="N9" s="92">
        <v>0</v>
      </c>
      <c r="O9" s="92">
        <v>0</v>
      </c>
      <c r="P9"/>
      <c r="Q9"/>
    </row>
    <row r="10" spans="1:17" ht="15.5" x14ac:dyDescent="0.35">
      <c r="A10" s="91" t="s">
        <v>226</v>
      </c>
      <c r="B10" s="92">
        <v>0</v>
      </c>
      <c r="C10" s="92">
        <v>0</v>
      </c>
      <c r="D10" s="92">
        <v>3</v>
      </c>
      <c r="E10" s="92">
        <v>83</v>
      </c>
      <c r="F10" s="92">
        <v>0</v>
      </c>
      <c r="G10" s="92">
        <v>2</v>
      </c>
      <c r="H10" s="92">
        <v>0</v>
      </c>
      <c r="I10" s="92">
        <v>1</v>
      </c>
      <c r="J10" s="92">
        <v>0</v>
      </c>
      <c r="K10" s="92">
        <v>1</v>
      </c>
      <c r="L10" s="92">
        <v>0</v>
      </c>
      <c r="M10" s="92">
        <v>0</v>
      </c>
      <c r="N10" s="92">
        <v>0</v>
      </c>
      <c r="O10" s="92">
        <v>0</v>
      </c>
      <c r="P10"/>
      <c r="Q10"/>
    </row>
    <row r="11" spans="1:17" ht="15.5" x14ac:dyDescent="0.35">
      <c r="A11" s="91" t="s">
        <v>227</v>
      </c>
      <c r="B11" s="92">
        <v>0</v>
      </c>
      <c r="C11" s="92">
        <v>0</v>
      </c>
      <c r="D11" s="92">
        <v>2</v>
      </c>
      <c r="E11" s="92">
        <v>80</v>
      </c>
      <c r="F11" s="92">
        <v>0</v>
      </c>
      <c r="G11" s="92">
        <v>2</v>
      </c>
      <c r="H11" s="92">
        <v>0</v>
      </c>
      <c r="I11" s="92">
        <v>2</v>
      </c>
      <c r="J11" s="92">
        <v>0</v>
      </c>
      <c r="K11" s="92">
        <v>1</v>
      </c>
      <c r="L11" s="92">
        <v>0</v>
      </c>
      <c r="M11" s="92">
        <v>0</v>
      </c>
      <c r="N11" s="92">
        <v>0</v>
      </c>
      <c r="O11" s="92">
        <v>0</v>
      </c>
      <c r="P11"/>
      <c r="Q11"/>
    </row>
    <row r="12" spans="1:17" ht="15.5" x14ac:dyDescent="0.35">
      <c r="A12" s="91" t="s">
        <v>228</v>
      </c>
      <c r="B12" s="92">
        <v>0</v>
      </c>
      <c r="C12" s="92">
        <v>2</v>
      </c>
      <c r="D12" s="92">
        <v>1</v>
      </c>
      <c r="E12" s="92">
        <v>105</v>
      </c>
      <c r="F12" s="92">
        <v>0</v>
      </c>
      <c r="G12" s="92">
        <v>1</v>
      </c>
      <c r="H12" s="92">
        <v>0</v>
      </c>
      <c r="I12" s="92">
        <v>1</v>
      </c>
      <c r="J12" s="92">
        <v>0</v>
      </c>
      <c r="K12" s="92">
        <v>0</v>
      </c>
      <c r="L12" s="92">
        <v>0</v>
      </c>
      <c r="M12" s="92">
        <v>0</v>
      </c>
      <c r="N12" s="92">
        <v>0</v>
      </c>
      <c r="O12" s="92">
        <v>0</v>
      </c>
      <c r="P12"/>
      <c r="Q12"/>
    </row>
    <row r="13" spans="1:17" ht="15.5" x14ac:dyDescent="0.35">
      <c r="A13" s="91" t="s">
        <v>229</v>
      </c>
      <c r="B13" s="92">
        <v>0</v>
      </c>
      <c r="C13" s="92">
        <v>0</v>
      </c>
      <c r="D13" s="92">
        <v>5</v>
      </c>
      <c r="E13" s="92">
        <v>75</v>
      </c>
      <c r="F13" s="92">
        <v>0</v>
      </c>
      <c r="G13" s="92">
        <v>6</v>
      </c>
      <c r="H13" s="92">
        <v>0</v>
      </c>
      <c r="I13" s="92">
        <v>5</v>
      </c>
      <c r="J13" s="92">
        <v>0</v>
      </c>
      <c r="K13" s="92">
        <v>1</v>
      </c>
      <c r="L13" s="92">
        <v>0</v>
      </c>
      <c r="M13" s="92">
        <v>0</v>
      </c>
      <c r="N13" s="92">
        <v>0</v>
      </c>
      <c r="O13" s="92">
        <v>0</v>
      </c>
      <c r="P13"/>
      <c r="Q13"/>
    </row>
    <row r="14" spans="1:17" ht="15.5" x14ac:dyDescent="0.35">
      <c r="A14" s="91" t="s">
        <v>230</v>
      </c>
      <c r="B14" s="92">
        <v>0</v>
      </c>
      <c r="C14" s="92">
        <v>1</v>
      </c>
      <c r="D14" s="92">
        <v>1</v>
      </c>
      <c r="E14" s="92">
        <v>87</v>
      </c>
      <c r="F14" s="92">
        <v>0</v>
      </c>
      <c r="G14" s="92">
        <v>1</v>
      </c>
      <c r="H14" s="92">
        <v>0</v>
      </c>
      <c r="I14" s="92">
        <v>2</v>
      </c>
      <c r="J14" s="92">
        <v>0</v>
      </c>
      <c r="K14" s="92">
        <v>4</v>
      </c>
      <c r="L14" s="92">
        <v>0</v>
      </c>
      <c r="M14" s="92">
        <v>0</v>
      </c>
      <c r="N14" s="92">
        <v>0</v>
      </c>
      <c r="O14" s="92">
        <v>0</v>
      </c>
      <c r="P14"/>
      <c r="Q14"/>
    </row>
    <row r="15" spans="1:17" ht="15.5" x14ac:dyDescent="0.35">
      <c r="A15" s="91" t="s">
        <v>231</v>
      </c>
      <c r="B15" s="92">
        <v>0</v>
      </c>
      <c r="C15" s="92">
        <v>1</v>
      </c>
      <c r="D15" s="92">
        <v>2</v>
      </c>
      <c r="E15" s="92">
        <v>88</v>
      </c>
      <c r="F15" s="92">
        <v>0</v>
      </c>
      <c r="G15" s="92">
        <v>5</v>
      </c>
      <c r="H15" s="92">
        <v>0</v>
      </c>
      <c r="I15" s="92">
        <v>14</v>
      </c>
      <c r="J15" s="92">
        <v>1</v>
      </c>
      <c r="K15" s="92">
        <v>6</v>
      </c>
      <c r="L15" s="92">
        <v>0</v>
      </c>
      <c r="M15" s="92">
        <v>0</v>
      </c>
      <c r="N15" s="92">
        <v>0</v>
      </c>
      <c r="O15" s="92">
        <v>0</v>
      </c>
      <c r="P15"/>
      <c r="Q15"/>
    </row>
    <row r="16" spans="1:17" ht="15.5" x14ac:dyDescent="0.35">
      <c r="A16" s="91" t="s">
        <v>232</v>
      </c>
      <c r="B16" s="92">
        <v>0</v>
      </c>
      <c r="C16" s="92">
        <v>9</v>
      </c>
      <c r="D16" s="92">
        <v>3</v>
      </c>
      <c r="E16" s="92">
        <v>119</v>
      </c>
      <c r="F16" s="92">
        <v>0</v>
      </c>
      <c r="G16" s="92">
        <v>10</v>
      </c>
      <c r="H16" s="92">
        <v>1</v>
      </c>
      <c r="I16" s="92">
        <v>8</v>
      </c>
      <c r="J16" s="92">
        <v>0</v>
      </c>
      <c r="K16" s="92">
        <v>3</v>
      </c>
      <c r="L16" s="92">
        <v>0</v>
      </c>
      <c r="M16" s="92">
        <v>0</v>
      </c>
      <c r="N16" s="92">
        <v>0</v>
      </c>
      <c r="O16" s="92">
        <v>0</v>
      </c>
      <c r="P16"/>
      <c r="Q16"/>
    </row>
    <row r="17" spans="1:17" ht="15.5" x14ac:dyDescent="0.35">
      <c r="A17" s="91" t="s">
        <v>132</v>
      </c>
      <c r="B17" s="92">
        <v>0</v>
      </c>
      <c r="C17" s="92">
        <v>6</v>
      </c>
      <c r="D17" s="92">
        <v>3</v>
      </c>
      <c r="E17" s="92">
        <v>118</v>
      </c>
      <c r="F17" s="92">
        <v>0</v>
      </c>
      <c r="G17" s="92">
        <v>9</v>
      </c>
      <c r="H17" s="92">
        <v>1</v>
      </c>
      <c r="I17" s="92">
        <v>7</v>
      </c>
      <c r="J17" s="92">
        <v>0</v>
      </c>
      <c r="K17" s="92">
        <v>2</v>
      </c>
      <c r="L17" s="92">
        <v>0</v>
      </c>
      <c r="M17" s="92">
        <v>0</v>
      </c>
      <c r="N17" s="92">
        <v>0</v>
      </c>
      <c r="O17" s="92">
        <v>0</v>
      </c>
      <c r="P17"/>
      <c r="Q17"/>
    </row>
    <row r="18" spans="1:17" ht="15.5" x14ac:dyDescent="0.35">
      <c r="A18" s="91" t="s">
        <v>133</v>
      </c>
      <c r="B18" s="92">
        <v>1</v>
      </c>
      <c r="C18" s="92">
        <v>48</v>
      </c>
      <c r="D18" s="92">
        <v>8</v>
      </c>
      <c r="E18" s="92">
        <v>164</v>
      </c>
      <c r="F18" s="92">
        <v>2</v>
      </c>
      <c r="G18" s="92">
        <v>8</v>
      </c>
      <c r="H18" s="92">
        <v>1</v>
      </c>
      <c r="I18" s="92">
        <v>11</v>
      </c>
      <c r="J18" s="92">
        <v>0</v>
      </c>
      <c r="K18" s="92">
        <v>4</v>
      </c>
      <c r="L18" s="92">
        <v>0</v>
      </c>
      <c r="M18" s="92">
        <v>4</v>
      </c>
      <c r="N18" s="92">
        <v>0</v>
      </c>
      <c r="O18" s="92">
        <v>0</v>
      </c>
      <c r="P18"/>
      <c r="Q18"/>
    </row>
    <row r="19" spans="1:17" ht="15.5" x14ac:dyDescent="0.35">
      <c r="A19" s="91" t="s">
        <v>134</v>
      </c>
      <c r="B19" s="92">
        <v>5</v>
      </c>
      <c r="C19" s="92">
        <v>110</v>
      </c>
      <c r="D19" s="92">
        <v>8</v>
      </c>
      <c r="E19" s="92">
        <v>208</v>
      </c>
      <c r="F19" s="92">
        <v>0</v>
      </c>
      <c r="G19" s="92">
        <v>12</v>
      </c>
      <c r="H19" s="92">
        <v>0</v>
      </c>
      <c r="I19" s="92">
        <v>6</v>
      </c>
      <c r="J19" s="92">
        <v>0</v>
      </c>
      <c r="K19" s="92">
        <v>5</v>
      </c>
      <c r="L19" s="92">
        <v>0</v>
      </c>
      <c r="M19" s="92">
        <v>1</v>
      </c>
      <c r="N19" s="92">
        <v>0</v>
      </c>
      <c r="O19" s="92">
        <v>0</v>
      </c>
      <c r="P19"/>
      <c r="Q19"/>
    </row>
    <row r="20" spans="1:17" ht="15.5" x14ac:dyDescent="0.35">
      <c r="A20" s="91" t="s">
        <v>135</v>
      </c>
      <c r="B20" s="92">
        <v>11</v>
      </c>
      <c r="C20" s="92">
        <v>254</v>
      </c>
      <c r="D20" s="92">
        <v>4</v>
      </c>
      <c r="E20" s="92">
        <v>203</v>
      </c>
      <c r="F20" s="92">
        <v>4</v>
      </c>
      <c r="G20" s="92">
        <v>14</v>
      </c>
      <c r="H20" s="92">
        <v>0</v>
      </c>
      <c r="I20" s="92">
        <v>4</v>
      </c>
      <c r="J20" s="92">
        <v>0</v>
      </c>
      <c r="K20" s="92">
        <v>4</v>
      </c>
      <c r="L20" s="92">
        <v>0</v>
      </c>
      <c r="M20" s="92">
        <v>1</v>
      </c>
      <c r="N20" s="92">
        <v>0</v>
      </c>
      <c r="O20" s="92">
        <v>0</v>
      </c>
      <c r="P20"/>
      <c r="Q20"/>
    </row>
    <row r="21" spans="1:17" ht="15.5" x14ac:dyDescent="0.35">
      <c r="A21" s="91" t="s">
        <v>136</v>
      </c>
      <c r="B21" s="92">
        <v>15</v>
      </c>
      <c r="C21" s="92">
        <v>410</v>
      </c>
      <c r="D21" s="92">
        <v>11</v>
      </c>
      <c r="E21" s="92">
        <v>241</v>
      </c>
      <c r="F21" s="92">
        <v>4</v>
      </c>
      <c r="G21" s="92">
        <v>17</v>
      </c>
      <c r="H21" s="92">
        <v>0</v>
      </c>
      <c r="I21" s="92">
        <v>2</v>
      </c>
      <c r="J21" s="92">
        <v>0</v>
      </c>
      <c r="K21" s="92">
        <v>10</v>
      </c>
      <c r="L21" s="92">
        <v>1</v>
      </c>
      <c r="M21" s="92">
        <v>1</v>
      </c>
      <c r="N21" s="92">
        <v>0</v>
      </c>
      <c r="O21" s="92">
        <v>0</v>
      </c>
      <c r="P21"/>
      <c r="Q21"/>
    </row>
    <row r="22" spans="1:17" ht="15.5" x14ac:dyDescent="0.35">
      <c r="A22" s="91" t="s">
        <v>137</v>
      </c>
      <c r="B22" s="92">
        <v>18</v>
      </c>
      <c r="C22" s="92">
        <v>535</v>
      </c>
      <c r="D22" s="92">
        <v>8</v>
      </c>
      <c r="E22" s="92">
        <v>254</v>
      </c>
      <c r="F22" s="92">
        <v>4</v>
      </c>
      <c r="G22" s="92">
        <v>25</v>
      </c>
      <c r="H22" s="92">
        <v>0</v>
      </c>
      <c r="I22" s="92">
        <v>2</v>
      </c>
      <c r="J22" s="92">
        <v>1</v>
      </c>
      <c r="K22" s="92">
        <v>10</v>
      </c>
      <c r="L22" s="92">
        <v>0</v>
      </c>
      <c r="M22" s="92">
        <v>0</v>
      </c>
      <c r="N22" s="92">
        <v>0</v>
      </c>
      <c r="O22" s="92">
        <v>0</v>
      </c>
      <c r="P22"/>
      <c r="Q22"/>
    </row>
    <row r="23" spans="1:17" ht="15.5" x14ac:dyDescent="0.35">
      <c r="A23" s="91" t="s">
        <v>138</v>
      </c>
      <c r="B23" s="92">
        <v>23</v>
      </c>
      <c r="C23" s="92">
        <v>709</v>
      </c>
      <c r="D23" s="92">
        <v>9</v>
      </c>
      <c r="E23" s="92">
        <v>265</v>
      </c>
      <c r="F23" s="92">
        <v>0</v>
      </c>
      <c r="G23" s="92">
        <v>25</v>
      </c>
      <c r="H23" s="92">
        <v>0</v>
      </c>
      <c r="I23" s="92">
        <v>7</v>
      </c>
      <c r="J23" s="92">
        <v>5</v>
      </c>
      <c r="K23" s="92">
        <v>18</v>
      </c>
      <c r="L23" s="92">
        <v>0</v>
      </c>
      <c r="M23" s="92">
        <v>2</v>
      </c>
      <c r="N23" s="92">
        <v>0</v>
      </c>
      <c r="O23" s="92">
        <v>0</v>
      </c>
      <c r="P23"/>
      <c r="Q23"/>
    </row>
    <row r="24" spans="1:17" ht="15.5" x14ac:dyDescent="0.35">
      <c r="A24" s="91" t="s">
        <v>139</v>
      </c>
      <c r="B24" s="92">
        <v>23</v>
      </c>
      <c r="C24" s="92">
        <v>743</v>
      </c>
      <c r="D24" s="92">
        <v>7</v>
      </c>
      <c r="E24" s="92">
        <v>257</v>
      </c>
      <c r="F24" s="92">
        <v>2</v>
      </c>
      <c r="G24" s="92">
        <v>26</v>
      </c>
      <c r="H24" s="92">
        <v>0</v>
      </c>
      <c r="I24" s="92">
        <v>11</v>
      </c>
      <c r="J24" s="92">
        <v>1</v>
      </c>
      <c r="K24" s="92">
        <v>28</v>
      </c>
      <c r="L24" s="92">
        <v>0</v>
      </c>
      <c r="M24" s="92">
        <v>6</v>
      </c>
      <c r="N24" s="92">
        <v>0</v>
      </c>
      <c r="O24" s="92">
        <v>0</v>
      </c>
      <c r="P24"/>
      <c r="Q24"/>
    </row>
    <row r="25" spans="1:17" ht="15.5" x14ac:dyDescent="0.35">
      <c r="A25" s="91" t="s">
        <v>140</v>
      </c>
      <c r="B25" s="92">
        <v>27</v>
      </c>
      <c r="C25" s="92">
        <v>754</v>
      </c>
      <c r="D25" s="92">
        <v>6</v>
      </c>
      <c r="E25" s="92">
        <v>240</v>
      </c>
      <c r="F25" s="92">
        <v>5</v>
      </c>
      <c r="G25" s="92">
        <v>23</v>
      </c>
      <c r="H25" s="92">
        <v>1</v>
      </c>
      <c r="I25" s="92">
        <v>9</v>
      </c>
      <c r="J25" s="92">
        <v>3</v>
      </c>
      <c r="K25" s="92">
        <v>27</v>
      </c>
      <c r="L25" s="92">
        <v>0</v>
      </c>
      <c r="M25" s="92">
        <v>4</v>
      </c>
      <c r="N25" s="92">
        <v>0</v>
      </c>
      <c r="O25" s="92">
        <v>0</v>
      </c>
      <c r="P25"/>
      <c r="Q25"/>
    </row>
    <row r="26" spans="1:17" ht="15.5" x14ac:dyDescent="0.35">
      <c r="A26" s="91" t="s">
        <v>141</v>
      </c>
      <c r="B26" s="92">
        <v>22</v>
      </c>
      <c r="C26" s="92">
        <v>759</v>
      </c>
      <c r="D26" s="92">
        <v>5</v>
      </c>
      <c r="E26" s="92">
        <v>231</v>
      </c>
      <c r="F26" s="92">
        <v>5</v>
      </c>
      <c r="G26" s="92">
        <v>31</v>
      </c>
      <c r="H26" s="92">
        <v>0</v>
      </c>
      <c r="I26" s="92">
        <v>6</v>
      </c>
      <c r="J26" s="92">
        <v>1</v>
      </c>
      <c r="K26" s="92">
        <v>29</v>
      </c>
      <c r="L26" s="92">
        <v>0</v>
      </c>
      <c r="M26" s="92">
        <v>5</v>
      </c>
      <c r="N26" s="92">
        <v>0</v>
      </c>
      <c r="O26" s="92">
        <v>1</v>
      </c>
      <c r="P26"/>
      <c r="Q26"/>
    </row>
    <row r="27" spans="1:17" ht="15.5" x14ac:dyDescent="0.35">
      <c r="A27" s="91" t="s">
        <v>142</v>
      </c>
      <c r="B27" s="92">
        <v>23</v>
      </c>
      <c r="C27" s="92">
        <v>812</v>
      </c>
      <c r="D27" s="92">
        <v>4</v>
      </c>
      <c r="E27" s="92">
        <v>227</v>
      </c>
      <c r="F27" s="92">
        <v>2</v>
      </c>
      <c r="G27" s="92">
        <v>22</v>
      </c>
      <c r="H27" s="92">
        <v>0</v>
      </c>
      <c r="I27" s="92">
        <v>8</v>
      </c>
      <c r="J27" s="92">
        <v>3</v>
      </c>
      <c r="K27" s="92">
        <v>31</v>
      </c>
      <c r="L27" s="92">
        <v>0</v>
      </c>
      <c r="M27" s="92">
        <v>6</v>
      </c>
      <c r="N27" s="92">
        <v>0</v>
      </c>
      <c r="O27" s="92">
        <v>0</v>
      </c>
      <c r="P27"/>
      <c r="Q27"/>
    </row>
    <row r="28" spans="1:17" ht="15.5" x14ac:dyDescent="0.35">
      <c r="A28" s="91" t="s">
        <v>143</v>
      </c>
      <c r="B28" s="92">
        <v>36</v>
      </c>
      <c r="C28" s="92">
        <v>781</v>
      </c>
      <c r="D28" s="92">
        <v>6</v>
      </c>
      <c r="E28" s="92">
        <v>172</v>
      </c>
      <c r="F28" s="92">
        <v>7</v>
      </c>
      <c r="G28" s="92">
        <v>32</v>
      </c>
      <c r="H28" s="92">
        <v>0</v>
      </c>
      <c r="I28" s="92">
        <v>4</v>
      </c>
      <c r="J28" s="92">
        <v>7</v>
      </c>
      <c r="K28" s="92">
        <v>35</v>
      </c>
      <c r="L28" s="92">
        <v>0</v>
      </c>
      <c r="M28" s="92">
        <v>7</v>
      </c>
      <c r="N28" s="92">
        <v>0</v>
      </c>
      <c r="O28" s="92">
        <v>0</v>
      </c>
      <c r="P28"/>
      <c r="Q28"/>
    </row>
    <row r="29" spans="1:17" ht="15.5" x14ac:dyDescent="0.35">
      <c r="A29" s="91" t="s">
        <v>144</v>
      </c>
      <c r="B29" s="92">
        <v>34</v>
      </c>
      <c r="C29" s="92">
        <v>735</v>
      </c>
      <c r="D29" s="92">
        <v>10</v>
      </c>
      <c r="E29" s="92">
        <v>172</v>
      </c>
      <c r="F29" s="92">
        <v>4</v>
      </c>
      <c r="G29" s="92">
        <v>40</v>
      </c>
      <c r="H29" s="92">
        <v>0</v>
      </c>
      <c r="I29" s="92">
        <v>10</v>
      </c>
      <c r="J29" s="92">
        <v>9</v>
      </c>
      <c r="K29" s="92">
        <v>32</v>
      </c>
      <c r="L29" s="92">
        <v>0</v>
      </c>
      <c r="M29" s="92">
        <v>5</v>
      </c>
      <c r="N29" s="92">
        <v>0</v>
      </c>
      <c r="O29" s="92">
        <v>0</v>
      </c>
      <c r="P29"/>
      <c r="Q29"/>
    </row>
    <row r="30" spans="1:17" ht="15.5" x14ac:dyDescent="0.35">
      <c r="A30" s="91" t="s">
        <v>145</v>
      </c>
      <c r="B30" s="92">
        <v>23</v>
      </c>
      <c r="C30" s="92">
        <v>737</v>
      </c>
      <c r="D30" s="92">
        <v>6</v>
      </c>
      <c r="E30" s="92">
        <v>182</v>
      </c>
      <c r="F30" s="92">
        <v>3</v>
      </c>
      <c r="G30" s="92">
        <v>39</v>
      </c>
      <c r="H30" s="92">
        <v>0</v>
      </c>
      <c r="I30" s="92">
        <v>6</v>
      </c>
      <c r="J30" s="92">
        <v>6</v>
      </c>
      <c r="K30" s="92">
        <v>40</v>
      </c>
      <c r="L30" s="92">
        <v>0</v>
      </c>
      <c r="M30" s="92">
        <v>9</v>
      </c>
      <c r="N30" s="92">
        <v>0</v>
      </c>
      <c r="O30" s="92">
        <v>0</v>
      </c>
      <c r="P30"/>
      <c r="Q30"/>
    </row>
    <row r="31" spans="1:17" ht="15.5" x14ac:dyDescent="0.35">
      <c r="A31" s="91" t="s">
        <v>146</v>
      </c>
      <c r="B31" s="92">
        <v>25</v>
      </c>
      <c r="C31" s="92">
        <v>704</v>
      </c>
      <c r="D31" s="92">
        <v>8</v>
      </c>
      <c r="E31" s="92">
        <v>155</v>
      </c>
      <c r="F31" s="92">
        <v>6</v>
      </c>
      <c r="G31" s="92">
        <v>48</v>
      </c>
      <c r="H31" s="92">
        <v>0</v>
      </c>
      <c r="I31" s="92">
        <v>10</v>
      </c>
      <c r="J31" s="92">
        <v>5</v>
      </c>
      <c r="K31" s="92">
        <v>34</v>
      </c>
      <c r="L31" s="92">
        <v>0</v>
      </c>
      <c r="M31" s="92">
        <v>2</v>
      </c>
      <c r="N31" s="92">
        <v>0</v>
      </c>
      <c r="O31" s="92">
        <v>0</v>
      </c>
      <c r="P31"/>
      <c r="Q31"/>
    </row>
    <row r="32" spans="1:17" ht="15.5" x14ac:dyDescent="0.35">
      <c r="A32" s="91" t="s">
        <v>147</v>
      </c>
      <c r="B32" s="92">
        <v>26</v>
      </c>
      <c r="C32" s="92">
        <v>641</v>
      </c>
      <c r="D32" s="92">
        <v>13</v>
      </c>
      <c r="E32" s="92">
        <v>142</v>
      </c>
      <c r="F32" s="92">
        <v>7</v>
      </c>
      <c r="G32" s="92">
        <v>34</v>
      </c>
      <c r="H32" s="92">
        <v>0</v>
      </c>
      <c r="I32" s="92">
        <v>18</v>
      </c>
      <c r="J32" s="92">
        <v>4</v>
      </c>
      <c r="K32" s="92">
        <v>35</v>
      </c>
      <c r="L32" s="92">
        <v>0</v>
      </c>
      <c r="M32" s="92">
        <v>3</v>
      </c>
      <c r="N32" s="92">
        <v>0</v>
      </c>
      <c r="O32" s="92">
        <v>0</v>
      </c>
      <c r="P32"/>
      <c r="Q32"/>
    </row>
    <row r="33" spans="1:17" ht="15.5" x14ac:dyDescent="0.35">
      <c r="A33" s="91" t="s">
        <v>148</v>
      </c>
      <c r="B33" s="92">
        <v>9</v>
      </c>
      <c r="C33" s="92">
        <v>575</v>
      </c>
      <c r="D33" s="92">
        <v>5</v>
      </c>
      <c r="E33" s="92">
        <v>149</v>
      </c>
      <c r="F33" s="92">
        <v>5</v>
      </c>
      <c r="G33" s="92">
        <v>26</v>
      </c>
      <c r="H33" s="92">
        <v>0</v>
      </c>
      <c r="I33" s="92">
        <v>13</v>
      </c>
      <c r="J33" s="92">
        <v>3</v>
      </c>
      <c r="K33" s="92">
        <v>39</v>
      </c>
      <c r="L33" s="92">
        <v>0</v>
      </c>
      <c r="M33" s="92">
        <v>1</v>
      </c>
      <c r="N33" s="92">
        <v>0</v>
      </c>
      <c r="O33" s="92">
        <v>0</v>
      </c>
      <c r="P33"/>
      <c r="Q33"/>
    </row>
    <row r="34" spans="1:17" ht="15.5" x14ac:dyDescent="0.35">
      <c r="A34" s="91" t="s">
        <v>149</v>
      </c>
      <c r="B34" s="92">
        <v>19</v>
      </c>
      <c r="C34" s="92">
        <v>554</v>
      </c>
      <c r="D34" s="92">
        <v>7</v>
      </c>
      <c r="E34" s="92">
        <v>137</v>
      </c>
      <c r="F34" s="92">
        <v>8</v>
      </c>
      <c r="G34" s="92">
        <v>31</v>
      </c>
      <c r="H34" s="92">
        <v>1</v>
      </c>
      <c r="I34" s="92">
        <v>12</v>
      </c>
      <c r="J34" s="92">
        <v>4</v>
      </c>
      <c r="K34" s="92">
        <v>29</v>
      </c>
      <c r="L34" s="92">
        <v>0</v>
      </c>
      <c r="M34" s="92">
        <v>2</v>
      </c>
      <c r="N34" s="92">
        <v>0</v>
      </c>
      <c r="O34" s="92">
        <v>0</v>
      </c>
      <c r="P34"/>
      <c r="Q34"/>
    </row>
    <row r="35" spans="1:17" ht="15.5" x14ac:dyDescent="0.35">
      <c r="A35" s="91" t="s">
        <v>150</v>
      </c>
      <c r="B35" s="92">
        <v>23</v>
      </c>
      <c r="C35" s="92">
        <v>516</v>
      </c>
      <c r="D35" s="92">
        <v>7</v>
      </c>
      <c r="E35" s="92">
        <v>102</v>
      </c>
      <c r="F35" s="92">
        <v>4</v>
      </c>
      <c r="G35" s="92">
        <v>31</v>
      </c>
      <c r="H35" s="92">
        <v>1</v>
      </c>
      <c r="I35" s="92">
        <v>11</v>
      </c>
      <c r="J35" s="92">
        <v>3</v>
      </c>
      <c r="K35" s="92">
        <v>32</v>
      </c>
      <c r="L35" s="92">
        <v>0</v>
      </c>
      <c r="M35" s="92">
        <v>2</v>
      </c>
      <c r="N35" s="92">
        <v>0</v>
      </c>
      <c r="O35" s="92">
        <v>0</v>
      </c>
      <c r="P35"/>
      <c r="Q35"/>
    </row>
    <row r="36" spans="1:17" ht="15.5" x14ac:dyDescent="0.35">
      <c r="A36" s="91" t="s">
        <v>151</v>
      </c>
      <c r="B36" s="92">
        <v>20</v>
      </c>
      <c r="C36" s="92">
        <v>516</v>
      </c>
      <c r="D36" s="92">
        <v>3</v>
      </c>
      <c r="E36" s="92">
        <v>114</v>
      </c>
      <c r="F36" s="92">
        <v>7</v>
      </c>
      <c r="G36" s="92">
        <v>31</v>
      </c>
      <c r="H36" s="92">
        <v>0</v>
      </c>
      <c r="I36" s="92">
        <v>10</v>
      </c>
      <c r="J36" s="92">
        <v>5</v>
      </c>
      <c r="K36" s="92">
        <v>28</v>
      </c>
      <c r="L36" s="92">
        <v>1</v>
      </c>
      <c r="M36" s="92">
        <v>4</v>
      </c>
      <c r="N36" s="92">
        <v>0</v>
      </c>
      <c r="O36" s="92">
        <v>0</v>
      </c>
      <c r="P36"/>
      <c r="Q36"/>
    </row>
    <row r="37" spans="1:17" ht="15.5" x14ac:dyDescent="0.35">
      <c r="A37" s="91" t="s">
        <v>152</v>
      </c>
      <c r="B37" s="92">
        <v>18</v>
      </c>
      <c r="C37" s="92">
        <v>450</v>
      </c>
      <c r="D37" s="92">
        <v>4</v>
      </c>
      <c r="E37" s="92">
        <v>80</v>
      </c>
      <c r="F37" s="92">
        <v>5</v>
      </c>
      <c r="G37" s="92">
        <v>22</v>
      </c>
      <c r="H37" s="92">
        <v>0</v>
      </c>
      <c r="I37" s="92">
        <v>6</v>
      </c>
      <c r="J37" s="92">
        <v>5</v>
      </c>
      <c r="K37" s="92">
        <v>22</v>
      </c>
      <c r="L37" s="92">
        <v>0</v>
      </c>
      <c r="M37" s="92">
        <v>3</v>
      </c>
      <c r="N37" s="92">
        <v>0</v>
      </c>
      <c r="O37" s="92">
        <v>0</v>
      </c>
      <c r="P37"/>
      <c r="Q37"/>
    </row>
    <row r="38" spans="1:17" ht="15.5" x14ac:dyDescent="0.35">
      <c r="A38" s="91" t="s">
        <v>153</v>
      </c>
      <c r="B38" s="92">
        <v>17</v>
      </c>
      <c r="C38" s="92">
        <v>414</v>
      </c>
      <c r="D38" s="92">
        <v>4</v>
      </c>
      <c r="E38" s="92">
        <v>105</v>
      </c>
      <c r="F38" s="92">
        <v>7</v>
      </c>
      <c r="G38" s="92">
        <v>26</v>
      </c>
      <c r="H38" s="92">
        <v>0</v>
      </c>
      <c r="I38" s="92">
        <v>9</v>
      </c>
      <c r="J38" s="92">
        <v>5</v>
      </c>
      <c r="K38" s="92">
        <v>29</v>
      </c>
      <c r="L38" s="92">
        <v>0</v>
      </c>
      <c r="M38" s="92">
        <v>3</v>
      </c>
      <c r="N38" s="92">
        <v>0</v>
      </c>
      <c r="O38" s="92">
        <v>0</v>
      </c>
      <c r="P38"/>
      <c r="Q38"/>
    </row>
    <row r="39" spans="1:17" ht="15.5" x14ac:dyDescent="0.35">
      <c r="A39" s="91" t="s">
        <v>154</v>
      </c>
      <c r="B39" s="92">
        <v>22</v>
      </c>
      <c r="C39" s="92">
        <v>424</v>
      </c>
      <c r="D39" s="92">
        <v>3</v>
      </c>
      <c r="E39" s="92">
        <v>87</v>
      </c>
      <c r="F39" s="92">
        <v>4</v>
      </c>
      <c r="G39" s="92">
        <v>28</v>
      </c>
      <c r="H39" s="92">
        <v>0</v>
      </c>
      <c r="I39" s="92">
        <v>10</v>
      </c>
      <c r="J39" s="92">
        <v>5</v>
      </c>
      <c r="K39" s="92">
        <v>28</v>
      </c>
      <c r="L39" s="92">
        <v>0</v>
      </c>
      <c r="M39" s="92">
        <v>6</v>
      </c>
      <c r="N39" s="92">
        <v>0</v>
      </c>
      <c r="O39" s="92">
        <v>0</v>
      </c>
      <c r="P39"/>
      <c r="Q39"/>
    </row>
    <row r="40" spans="1:17" ht="15.5" x14ac:dyDescent="0.35">
      <c r="A40" s="91" t="s">
        <v>155</v>
      </c>
      <c r="B40" s="92">
        <v>16</v>
      </c>
      <c r="C40" s="92">
        <v>355</v>
      </c>
      <c r="D40" s="92">
        <v>7</v>
      </c>
      <c r="E40" s="92">
        <v>68</v>
      </c>
      <c r="F40" s="92">
        <v>6</v>
      </c>
      <c r="G40" s="92">
        <v>23</v>
      </c>
      <c r="H40" s="92">
        <v>1</v>
      </c>
      <c r="I40" s="92">
        <v>4</v>
      </c>
      <c r="J40" s="92">
        <v>3</v>
      </c>
      <c r="K40" s="92">
        <v>18</v>
      </c>
      <c r="L40" s="92">
        <v>0</v>
      </c>
      <c r="M40" s="92">
        <v>3</v>
      </c>
      <c r="N40" s="92">
        <v>0</v>
      </c>
      <c r="O40" s="92">
        <v>0</v>
      </c>
      <c r="P40"/>
      <c r="Q40"/>
    </row>
    <row r="41" spans="1:17" ht="15.5" x14ac:dyDescent="0.35">
      <c r="A41" s="91" t="s">
        <v>156</v>
      </c>
      <c r="B41" s="92">
        <v>15</v>
      </c>
      <c r="C41" s="92">
        <v>382</v>
      </c>
      <c r="D41" s="92">
        <v>3</v>
      </c>
      <c r="E41" s="92">
        <v>75</v>
      </c>
      <c r="F41" s="92">
        <v>4</v>
      </c>
      <c r="G41" s="92">
        <v>23</v>
      </c>
      <c r="H41" s="92">
        <v>0</v>
      </c>
      <c r="I41" s="92">
        <v>11</v>
      </c>
      <c r="J41" s="92">
        <v>4</v>
      </c>
      <c r="K41" s="92">
        <v>18</v>
      </c>
      <c r="L41" s="92">
        <v>0</v>
      </c>
      <c r="M41" s="92">
        <v>2</v>
      </c>
      <c r="N41" s="92">
        <v>0</v>
      </c>
      <c r="O41" s="92">
        <v>1</v>
      </c>
      <c r="P41"/>
      <c r="Q41"/>
    </row>
    <row r="42" spans="1:17" ht="15.5" x14ac:dyDescent="0.35">
      <c r="A42" s="91" t="s">
        <v>157</v>
      </c>
      <c r="B42" s="92">
        <v>17</v>
      </c>
      <c r="C42" s="92">
        <v>361</v>
      </c>
      <c r="D42" s="92">
        <v>3</v>
      </c>
      <c r="E42" s="92">
        <v>72</v>
      </c>
      <c r="F42" s="92">
        <v>10</v>
      </c>
      <c r="G42" s="92">
        <v>12</v>
      </c>
      <c r="H42" s="92">
        <v>0</v>
      </c>
      <c r="I42" s="92">
        <v>13</v>
      </c>
      <c r="J42" s="92">
        <v>8</v>
      </c>
      <c r="K42" s="92">
        <v>18</v>
      </c>
      <c r="L42" s="92">
        <v>0</v>
      </c>
      <c r="M42" s="92">
        <v>3</v>
      </c>
      <c r="N42" s="92">
        <v>0</v>
      </c>
      <c r="O42" s="92">
        <v>0</v>
      </c>
      <c r="P42"/>
      <c r="Q42"/>
    </row>
    <row r="43" spans="1:17" ht="15.5" x14ac:dyDescent="0.35">
      <c r="A43" s="91" t="s">
        <v>158</v>
      </c>
      <c r="B43" s="92">
        <v>14</v>
      </c>
      <c r="C43" s="92">
        <v>358</v>
      </c>
      <c r="D43" s="92">
        <v>2</v>
      </c>
      <c r="E43" s="92">
        <v>74</v>
      </c>
      <c r="F43" s="92">
        <v>2</v>
      </c>
      <c r="G43" s="92">
        <v>22</v>
      </c>
      <c r="H43" s="92">
        <v>0</v>
      </c>
      <c r="I43" s="92">
        <v>4</v>
      </c>
      <c r="J43" s="92">
        <v>3</v>
      </c>
      <c r="K43" s="92">
        <v>25</v>
      </c>
      <c r="L43" s="92">
        <v>0</v>
      </c>
      <c r="M43" s="92">
        <v>2</v>
      </c>
      <c r="N43" s="92">
        <v>0</v>
      </c>
      <c r="O43" s="92">
        <v>0</v>
      </c>
      <c r="P43"/>
      <c r="Q43"/>
    </row>
    <row r="44" spans="1:17" ht="15.5" x14ac:dyDescent="0.35">
      <c r="A44" s="91" t="s">
        <v>159</v>
      </c>
      <c r="B44" s="92">
        <v>12</v>
      </c>
      <c r="C44" s="92">
        <v>317</v>
      </c>
      <c r="D44" s="92">
        <v>3</v>
      </c>
      <c r="E44" s="92">
        <v>68</v>
      </c>
      <c r="F44" s="92">
        <v>7</v>
      </c>
      <c r="G44" s="92">
        <v>26</v>
      </c>
      <c r="H44" s="92">
        <v>0</v>
      </c>
      <c r="I44" s="92">
        <v>3</v>
      </c>
      <c r="J44" s="92">
        <v>6</v>
      </c>
      <c r="K44" s="92">
        <v>21</v>
      </c>
      <c r="L44" s="92">
        <v>0</v>
      </c>
      <c r="M44" s="92">
        <v>1</v>
      </c>
      <c r="N44" s="92">
        <v>0</v>
      </c>
      <c r="O44" s="92">
        <v>0</v>
      </c>
      <c r="P44"/>
      <c r="Q44"/>
    </row>
    <row r="45" spans="1:17" ht="15.5" x14ac:dyDescent="0.35">
      <c r="A45" s="91" t="s">
        <v>160</v>
      </c>
      <c r="B45" s="92">
        <v>8</v>
      </c>
      <c r="C45" s="92">
        <v>286</v>
      </c>
      <c r="D45" s="92">
        <v>2</v>
      </c>
      <c r="E45" s="92">
        <v>66</v>
      </c>
      <c r="F45" s="92">
        <v>3</v>
      </c>
      <c r="G45" s="92">
        <v>18</v>
      </c>
      <c r="H45" s="92">
        <v>0</v>
      </c>
      <c r="I45" s="92">
        <v>6</v>
      </c>
      <c r="J45" s="92">
        <v>3</v>
      </c>
      <c r="K45" s="92">
        <v>17</v>
      </c>
      <c r="L45" s="92">
        <v>0</v>
      </c>
      <c r="M45" s="92">
        <v>6</v>
      </c>
      <c r="N45" s="92">
        <v>0</v>
      </c>
      <c r="O45" s="92">
        <v>0</v>
      </c>
      <c r="P45"/>
      <c r="Q45"/>
    </row>
    <row r="46" spans="1:17" ht="15.5" x14ac:dyDescent="0.35">
      <c r="A46" s="91" t="s">
        <v>161</v>
      </c>
      <c r="B46" s="92">
        <v>9</v>
      </c>
      <c r="C46" s="92">
        <v>275</v>
      </c>
      <c r="D46" s="92">
        <v>2</v>
      </c>
      <c r="E46" s="92">
        <v>72</v>
      </c>
      <c r="F46" s="92">
        <v>5</v>
      </c>
      <c r="G46" s="92">
        <v>17</v>
      </c>
      <c r="H46" s="92">
        <v>0</v>
      </c>
      <c r="I46" s="92">
        <v>10</v>
      </c>
      <c r="J46" s="92">
        <v>1</v>
      </c>
      <c r="K46" s="92">
        <v>12</v>
      </c>
      <c r="L46" s="92">
        <v>0</v>
      </c>
      <c r="M46" s="92">
        <v>1</v>
      </c>
      <c r="N46" s="92">
        <v>0</v>
      </c>
      <c r="O46" s="92">
        <v>0</v>
      </c>
      <c r="P46"/>
      <c r="Q46"/>
    </row>
    <row r="47" spans="1:17" ht="15.5" x14ac:dyDescent="0.35">
      <c r="A47" s="91" t="s">
        <v>162</v>
      </c>
      <c r="B47" s="92">
        <v>15</v>
      </c>
      <c r="C47" s="92">
        <v>266</v>
      </c>
      <c r="D47" s="92">
        <v>2</v>
      </c>
      <c r="E47" s="92">
        <v>66</v>
      </c>
      <c r="F47" s="92">
        <v>6</v>
      </c>
      <c r="G47" s="92">
        <v>15</v>
      </c>
      <c r="H47" s="92">
        <v>2</v>
      </c>
      <c r="I47" s="92">
        <v>7</v>
      </c>
      <c r="J47" s="92">
        <v>4</v>
      </c>
      <c r="K47" s="92">
        <v>10</v>
      </c>
      <c r="L47" s="92">
        <v>0</v>
      </c>
      <c r="M47" s="92">
        <v>2</v>
      </c>
      <c r="N47" s="92">
        <v>0</v>
      </c>
      <c r="O47" s="92">
        <v>0</v>
      </c>
      <c r="P47"/>
      <c r="Q47"/>
    </row>
    <row r="48" spans="1:17" ht="15.5" x14ac:dyDescent="0.35">
      <c r="A48" s="91" t="s">
        <v>163</v>
      </c>
      <c r="B48" s="92">
        <v>6</v>
      </c>
      <c r="C48" s="92">
        <v>242</v>
      </c>
      <c r="D48" s="92">
        <v>2</v>
      </c>
      <c r="E48" s="92">
        <v>61</v>
      </c>
      <c r="F48" s="92">
        <v>3</v>
      </c>
      <c r="G48" s="92">
        <v>15</v>
      </c>
      <c r="H48" s="92">
        <v>1</v>
      </c>
      <c r="I48" s="92">
        <v>12</v>
      </c>
      <c r="J48" s="92">
        <v>2</v>
      </c>
      <c r="K48" s="92">
        <v>16</v>
      </c>
      <c r="L48" s="92">
        <v>0</v>
      </c>
      <c r="M48" s="92">
        <v>1</v>
      </c>
      <c r="N48" s="92">
        <v>0</v>
      </c>
      <c r="O48" s="92">
        <v>0</v>
      </c>
      <c r="P48"/>
      <c r="Q48"/>
    </row>
    <row r="49" spans="1:17" ht="15.5" x14ac:dyDescent="0.35">
      <c r="A49" s="91" t="s">
        <v>164</v>
      </c>
      <c r="B49" s="92">
        <v>12</v>
      </c>
      <c r="C49" s="92">
        <v>231</v>
      </c>
      <c r="D49" s="92">
        <v>4</v>
      </c>
      <c r="E49" s="92">
        <v>50</v>
      </c>
      <c r="F49" s="92">
        <v>4</v>
      </c>
      <c r="G49" s="92">
        <v>15</v>
      </c>
      <c r="H49" s="92">
        <v>1</v>
      </c>
      <c r="I49" s="92">
        <v>8</v>
      </c>
      <c r="J49" s="92">
        <v>7</v>
      </c>
      <c r="K49" s="92">
        <v>16</v>
      </c>
      <c r="L49" s="92">
        <v>0</v>
      </c>
      <c r="M49" s="92">
        <v>4</v>
      </c>
      <c r="N49" s="92">
        <v>0</v>
      </c>
      <c r="O49" s="92">
        <v>0</v>
      </c>
      <c r="P49"/>
      <c r="Q49"/>
    </row>
    <row r="50" spans="1:17" ht="15.5" x14ac:dyDescent="0.35">
      <c r="A50" s="91" t="s">
        <v>165</v>
      </c>
      <c r="B50" s="92">
        <v>11</v>
      </c>
      <c r="C50" s="92">
        <v>236</v>
      </c>
      <c r="D50" s="92">
        <v>3</v>
      </c>
      <c r="E50" s="92">
        <v>54</v>
      </c>
      <c r="F50" s="92">
        <v>6</v>
      </c>
      <c r="G50" s="92">
        <v>18</v>
      </c>
      <c r="H50" s="92">
        <v>0</v>
      </c>
      <c r="I50" s="92">
        <v>6</v>
      </c>
      <c r="J50" s="92">
        <v>3</v>
      </c>
      <c r="K50" s="92">
        <v>11</v>
      </c>
      <c r="L50" s="92">
        <v>1</v>
      </c>
      <c r="M50" s="92">
        <v>3</v>
      </c>
      <c r="N50" s="92">
        <v>0</v>
      </c>
      <c r="O50" s="92">
        <v>0</v>
      </c>
      <c r="P50"/>
      <c r="Q50"/>
    </row>
    <row r="51" spans="1:17" ht="15.5" x14ac:dyDescent="0.35">
      <c r="A51" s="91" t="s">
        <v>166</v>
      </c>
      <c r="B51" s="92">
        <v>8</v>
      </c>
      <c r="C51" s="92">
        <v>254</v>
      </c>
      <c r="D51" s="92">
        <v>3</v>
      </c>
      <c r="E51" s="92">
        <v>62</v>
      </c>
      <c r="F51" s="92">
        <v>3</v>
      </c>
      <c r="G51" s="92">
        <v>16</v>
      </c>
      <c r="H51" s="92">
        <v>1</v>
      </c>
      <c r="I51" s="92">
        <v>5</v>
      </c>
      <c r="J51" s="92">
        <v>3</v>
      </c>
      <c r="K51" s="92">
        <v>14</v>
      </c>
      <c r="L51" s="92">
        <v>0</v>
      </c>
      <c r="M51" s="92">
        <v>3</v>
      </c>
      <c r="N51" s="92">
        <v>0</v>
      </c>
      <c r="O51" s="92">
        <v>0</v>
      </c>
      <c r="P51"/>
      <c r="Q51"/>
    </row>
    <row r="52" spans="1:17" ht="15.5" x14ac:dyDescent="0.35">
      <c r="A52" s="91" t="s">
        <v>167</v>
      </c>
      <c r="B52" s="92">
        <v>11</v>
      </c>
      <c r="C52" s="92">
        <v>251</v>
      </c>
      <c r="D52" s="92">
        <v>3</v>
      </c>
      <c r="E52" s="92">
        <v>51</v>
      </c>
      <c r="F52" s="92">
        <v>6</v>
      </c>
      <c r="G52" s="92">
        <v>10</v>
      </c>
      <c r="H52" s="92">
        <v>2</v>
      </c>
      <c r="I52" s="92">
        <v>3</v>
      </c>
      <c r="J52" s="92">
        <v>4</v>
      </c>
      <c r="K52" s="92">
        <v>19</v>
      </c>
      <c r="L52" s="92">
        <v>0</v>
      </c>
      <c r="M52" s="92">
        <v>1</v>
      </c>
      <c r="N52" s="92">
        <v>0</v>
      </c>
      <c r="O52" s="92">
        <v>0</v>
      </c>
      <c r="P52"/>
      <c r="Q52"/>
    </row>
    <row r="53" spans="1:17" ht="15.5" x14ac:dyDescent="0.35">
      <c r="A53" s="91" t="s">
        <v>168</v>
      </c>
      <c r="B53" s="92">
        <v>9</v>
      </c>
      <c r="C53" s="92">
        <v>246</v>
      </c>
      <c r="D53" s="92">
        <v>1</v>
      </c>
      <c r="E53" s="92">
        <v>57</v>
      </c>
      <c r="F53" s="92">
        <v>3</v>
      </c>
      <c r="G53" s="92">
        <v>20</v>
      </c>
      <c r="H53" s="92">
        <v>0</v>
      </c>
      <c r="I53" s="92">
        <v>9</v>
      </c>
      <c r="J53" s="92">
        <v>2</v>
      </c>
      <c r="K53" s="92">
        <v>23</v>
      </c>
      <c r="L53" s="92">
        <v>0</v>
      </c>
      <c r="M53" s="92">
        <v>2</v>
      </c>
      <c r="N53" s="92">
        <v>0</v>
      </c>
      <c r="O53" s="92">
        <v>0</v>
      </c>
      <c r="P53"/>
      <c r="Q53"/>
    </row>
    <row r="54" spans="1:17" ht="15.5" x14ac:dyDescent="0.35">
      <c r="A54" s="91" t="s">
        <v>169</v>
      </c>
      <c r="B54" s="92">
        <v>15</v>
      </c>
      <c r="C54" s="92">
        <v>225</v>
      </c>
      <c r="D54" s="92">
        <v>1</v>
      </c>
      <c r="E54" s="92">
        <v>60</v>
      </c>
      <c r="F54" s="92">
        <v>6</v>
      </c>
      <c r="G54" s="92">
        <v>12</v>
      </c>
      <c r="H54" s="92">
        <v>4</v>
      </c>
      <c r="I54" s="92">
        <v>14</v>
      </c>
      <c r="J54" s="92">
        <v>7</v>
      </c>
      <c r="K54" s="92">
        <v>14</v>
      </c>
      <c r="L54" s="92">
        <v>0</v>
      </c>
      <c r="M54" s="92">
        <v>3</v>
      </c>
      <c r="N54" s="92">
        <v>0</v>
      </c>
      <c r="O54" s="92">
        <v>0</v>
      </c>
      <c r="P54"/>
      <c r="Q54"/>
    </row>
    <row r="55" spans="1:17" ht="15.5" x14ac:dyDescent="0.35">
      <c r="A55" s="91" t="s">
        <v>170</v>
      </c>
      <c r="B55" s="92">
        <v>9</v>
      </c>
      <c r="C55" s="92">
        <v>204</v>
      </c>
      <c r="D55" s="92">
        <v>2</v>
      </c>
      <c r="E55" s="92">
        <v>51</v>
      </c>
      <c r="F55" s="92">
        <v>3</v>
      </c>
      <c r="G55" s="92">
        <v>23</v>
      </c>
      <c r="H55" s="92">
        <v>1</v>
      </c>
      <c r="I55" s="92">
        <v>12</v>
      </c>
      <c r="J55" s="92">
        <v>2</v>
      </c>
      <c r="K55" s="92">
        <v>16</v>
      </c>
      <c r="L55" s="92">
        <v>0</v>
      </c>
      <c r="M55" s="92">
        <v>2</v>
      </c>
      <c r="N55" s="92">
        <v>0</v>
      </c>
      <c r="O55" s="92">
        <v>0</v>
      </c>
      <c r="P55"/>
      <c r="Q55"/>
    </row>
    <row r="56" spans="1:17" ht="15.5" x14ac:dyDescent="0.35">
      <c r="A56" s="91" t="s">
        <v>171</v>
      </c>
      <c r="B56" s="92">
        <v>15</v>
      </c>
      <c r="C56" s="92">
        <v>223</v>
      </c>
      <c r="D56" s="92">
        <v>1</v>
      </c>
      <c r="E56" s="92">
        <v>35</v>
      </c>
      <c r="F56" s="92">
        <v>7</v>
      </c>
      <c r="G56" s="92">
        <v>21</v>
      </c>
      <c r="H56" s="92">
        <v>0</v>
      </c>
      <c r="I56" s="92">
        <v>11</v>
      </c>
      <c r="J56" s="92">
        <v>5</v>
      </c>
      <c r="K56" s="92">
        <v>17</v>
      </c>
      <c r="L56" s="92">
        <v>0</v>
      </c>
      <c r="M56" s="92">
        <v>1</v>
      </c>
      <c r="N56" s="92">
        <v>0</v>
      </c>
      <c r="O56" s="92">
        <v>0</v>
      </c>
      <c r="P56"/>
      <c r="Q56"/>
    </row>
    <row r="57" spans="1:17" ht="15.5" x14ac:dyDescent="0.35">
      <c r="A57" s="91" t="s">
        <v>172</v>
      </c>
      <c r="B57" s="92">
        <v>15</v>
      </c>
      <c r="C57" s="92">
        <v>220</v>
      </c>
      <c r="D57" s="92">
        <v>0</v>
      </c>
      <c r="E57" s="92">
        <v>36</v>
      </c>
      <c r="F57" s="92">
        <v>9</v>
      </c>
      <c r="G57" s="92">
        <v>27</v>
      </c>
      <c r="H57" s="92">
        <v>1</v>
      </c>
      <c r="I57" s="92">
        <v>6</v>
      </c>
      <c r="J57" s="92">
        <v>5</v>
      </c>
      <c r="K57" s="92">
        <v>18</v>
      </c>
      <c r="L57" s="92">
        <v>0</v>
      </c>
      <c r="M57" s="92">
        <v>2</v>
      </c>
      <c r="N57" s="92">
        <v>0</v>
      </c>
      <c r="O57" s="92">
        <v>0</v>
      </c>
      <c r="P57"/>
      <c r="Q57"/>
    </row>
    <row r="58" spans="1:17" ht="15.5" x14ac:dyDescent="0.35">
      <c r="A58" s="91" t="s">
        <v>173</v>
      </c>
      <c r="B58" s="92">
        <v>10</v>
      </c>
      <c r="C58" s="92">
        <v>208</v>
      </c>
      <c r="D58" s="92">
        <v>1</v>
      </c>
      <c r="E58" s="92">
        <v>44</v>
      </c>
      <c r="F58" s="92">
        <v>5</v>
      </c>
      <c r="G58" s="92">
        <v>20</v>
      </c>
      <c r="H58" s="92">
        <v>1</v>
      </c>
      <c r="I58" s="92">
        <v>9</v>
      </c>
      <c r="J58" s="92">
        <v>0</v>
      </c>
      <c r="K58" s="92">
        <v>7</v>
      </c>
      <c r="L58" s="92">
        <v>0</v>
      </c>
      <c r="M58" s="92">
        <v>3</v>
      </c>
      <c r="N58" s="92">
        <v>0</v>
      </c>
      <c r="O58" s="92">
        <v>0</v>
      </c>
      <c r="P58"/>
      <c r="Q58"/>
    </row>
    <row r="59" spans="1:17" ht="15.5" x14ac:dyDescent="0.35">
      <c r="A59" s="91" t="s">
        <v>174</v>
      </c>
      <c r="B59" s="92">
        <v>9</v>
      </c>
      <c r="C59" s="92">
        <v>194</v>
      </c>
      <c r="D59" s="92">
        <v>2</v>
      </c>
      <c r="E59" s="92">
        <v>43</v>
      </c>
      <c r="F59" s="92">
        <v>7</v>
      </c>
      <c r="G59" s="92">
        <v>22</v>
      </c>
      <c r="H59" s="92">
        <v>0</v>
      </c>
      <c r="I59" s="92">
        <v>10</v>
      </c>
      <c r="J59" s="92">
        <v>4</v>
      </c>
      <c r="K59" s="92">
        <v>9</v>
      </c>
      <c r="L59" s="92">
        <v>0</v>
      </c>
      <c r="M59" s="92">
        <v>1</v>
      </c>
      <c r="N59" s="92">
        <v>0</v>
      </c>
      <c r="O59" s="92">
        <v>0</v>
      </c>
      <c r="P59"/>
      <c r="Q59"/>
    </row>
    <row r="60" spans="1:17" ht="15.5" x14ac:dyDescent="0.35">
      <c r="A60" s="91" t="s">
        <v>175</v>
      </c>
      <c r="B60" s="92">
        <v>14</v>
      </c>
      <c r="C60" s="92">
        <v>204</v>
      </c>
      <c r="D60" s="92">
        <v>0</v>
      </c>
      <c r="E60" s="92">
        <v>45</v>
      </c>
      <c r="F60" s="92">
        <v>7</v>
      </c>
      <c r="G60" s="92">
        <v>28</v>
      </c>
      <c r="H60" s="92">
        <v>1</v>
      </c>
      <c r="I60" s="92">
        <v>9</v>
      </c>
      <c r="J60" s="92">
        <v>0</v>
      </c>
      <c r="K60" s="92">
        <v>17</v>
      </c>
      <c r="L60" s="92">
        <v>0</v>
      </c>
      <c r="M60" s="92">
        <v>2</v>
      </c>
      <c r="N60" s="92">
        <v>0</v>
      </c>
      <c r="O60" s="92">
        <v>0</v>
      </c>
      <c r="P60"/>
      <c r="Q60"/>
    </row>
    <row r="61" spans="1:17" ht="15.5" x14ac:dyDescent="0.35">
      <c r="A61" s="91" t="s">
        <v>176</v>
      </c>
      <c r="B61" s="92">
        <v>9</v>
      </c>
      <c r="C61" s="92">
        <v>200</v>
      </c>
      <c r="D61" s="92">
        <v>2</v>
      </c>
      <c r="E61" s="92">
        <v>48</v>
      </c>
      <c r="F61" s="92">
        <v>5</v>
      </c>
      <c r="G61" s="92">
        <v>20</v>
      </c>
      <c r="H61" s="92">
        <v>0</v>
      </c>
      <c r="I61" s="92">
        <v>8</v>
      </c>
      <c r="J61" s="92">
        <v>2</v>
      </c>
      <c r="K61" s="92">
        <v>11</v>
      </c>
      <c r="L61" s="92">
        <v>0</v>
      </c>
      <c r="M61" s="92">
        <v>1</v>
      </c>
      <c r="N61" s="92">
        <v>0</v>
      </c>
      <c r="O61" s="92">
        <v>0</v>
      </c>
      <c r="P61"/>
      <c r="Q61"/>
    </row>
    <row r="62" spans="1:17" ht="15.5" x14ac:dyDescent="0.35">
      <c r="A62" s="91" t="s">
        <v>233</v>
      </c>
      <c r="B62" s="92">
        <v>82</v>
      </c>
      <c r="C62" s="92">
        <v>1621</v>
      </c>
      <c r="D62" s="92">
        <v>23</v>
      </c>
      <c r="E62" s="92">
        <v>504</v>
      </c>
      <c r="F62" s="92">
        <v>59</v>
      </c>
      <c r="G62" s="92">
        <v>170</v>
      </c>
      <c r="H62" s="92">
        <v>9</v>
      </c>
      <c r="I62" s="92">
        <v>61</v>
      </c>
      <c r="J62" s="92">
        <v>18</v>
      </c>
      <c r="K62" s="92">
        <v>84</v>
      </c>
      <c r="L62" s="92">
        <v>2</v>
      </c>
      <c r="M62" s="92">
        <v>11</v>
      </c>
      <c r="N62" s="92">
        <v>0</v>
      </c>
      <c r="O62" s="92">
        <v>0</v>
      </c>
      <c r="P62"/>
      <c r="Q62"/>
    </row>
    <row r="63" spans="1:17" ht="15.5" x14ac:dyDescent="0.35">
      <c r="A63" s="91" t="s">
        <v>113</v>
      </c>
      <c r="B63" s="92">
        <v>0</v>
      </c>
      <c r="C63" s="92">
        <v>29</v>
      </c>
      <c r="D63" s="92">
        <v>1</v>
      </c>
      <c r="E63" s="92">
        <v>228</v>
      </c>
      <c r="F63" s="92">
        <v>1</v>
      </c>
      <c r="G63" s="92">
        <v>20</v>
      </c>
      <c r="H63" s="92">
        <v>0</v>
      </c>
      <c r="I63" s="92">
        <v>4</v>
      </c>
      <c r="J63" s="92">
        <v>0</v>
      </c>
      <c r="K63" s="92">
        <v>4</v>
      </c>
      <c r="L63" s="92">
        <v>0</v>
      </c>
      <c r="M63" s="92">
        <v>17</v>
      </c>
      <c r="N63" s="92">
        <v>0</v>
      </c>
      <c r="O63" s="92">
        <v>0</v>
      </c>
      <c r="P63"/>
      <c r="Q63"/>
    </row>
    <row r="64" spans="1:17" ht="15.5" x14ac:dyDescent="0.35">
      <c r="A64" s="28" t="s">
        <v>276</v>
      </c>
      <c r="B64" s="92">
        <v>781</v>
      </c>
      <c r="C64" s="92">
        <v>19605</v>
      </c>
      <c r="D64" s="92">
        <v>255</v>
      </c>
      <c r="E64" s="92">
        <v>7092</v>
      </c>
      <c r="F64" s="92">
        <v>272</v>
      </c>
      <c r="G64" s="92">
        <v>1254</v>
      </c>
      <c r="H64" s="92">
        <v>31</v>
      </c>
      <c r="I64" s="92">
        <v>473</v>
      </c>
      <c r="J64" s="92">
        <v>172</v>
      </c>
      <c r="K64" s="92">
        <v>1005</v>
      </c>
      <c r="L64" s="92">
        <v>5</v>
      </c>
      <c r="M64" s="92">
        <v>156</v>
      </c>
      <c r="N64" s="92">
        <v>0</v>
      </c>
      <c r="O64" s="92">
        <v>2</v>
      </c>
      <c r="P64"/>
      <c r="Q64"/>
    </row>
    <row r="65" spans="1:15" ht="5.25" customHeight="1" x14ac:dyDescent="0.3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</row>
    <row r="66" spans="1:15" x14ac:dyDescent="0.3">
      <c r="A66" s="95" t="s">
        <v>295</v>
      </c>
      <c r="B66" s="77"/>
      <c r="C66" s="77"/>
      <c r="D66" s="77"/>
      <c r="E66" s="77"/>
      <c r="F66" s="77"/>
      <c r="G66" s="77"/>
      <c r="H66" s="77"/>
      <c r="I66" s="77"/>
      <c r="J66" s="77"/>
    </row>
    <row r="67" spans="1:15" x14ac:dyDescent="0.3">
      <c r="A67" s="95" t="s">
        <v>296</v>
      </c>
      <c r="B67" s="77"/>
      <c r="C67" s="77"/>
      <c r="D67" s="77"/>
      <c r="E67" s="77"/>
      <c r="F67" s="77"/>
      <c r="G67" s="77"/>
      <c r="H67" s="77"/>
      <c r="I67" s="77"/>
      <c r="J67" s="77"/>
    </row>
  </sheetData>
  <pageMargins left="0.55000000000000004" right="0.55000000000000004" top="0.55000000000000004" bottom="0.55000000000000004" header="0.3" footer="0.3"/>
  <pageSetup scale="59" fitToHeight="0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AD50-3187-4C39-9B33-3799389B4753}">
  <dimension ref="A1:P135"/>
  <sheetViews>
    <sheetView workbookViewId="0">
      <selection activeCell="C1" sqref="C1"/>
    </sheetView>
  </sheetViews>
  <sheetFormatPr defaultRowHeight="14.5" x14ac:dyDescent="0.35"/>
  <cols>
    <col min="1" max="1" width="34.7265625" bestFit="1" customWidth="1"/>
    <col min="2" max="2" width="9.26953125" bestFit="1" customWidth="1"/>
    <col min="3" max="4" width="5.7265625" bestFit="1" customWidth="1"/>
    <col min="5" max="5" width="10.453125" bestFit="1" customWidth="1"/>
    <col min="6" max="7" width="8" bestFit="1" customWidth="1"/>
    <col min="8" max="8" width="5.7265625" bestFit="1" customWidth="1"/>
    <col min="9" max="9" width="10.453125" bestFit="1" customWidth="1"/>
    <col min="10" max="12" width="5.7265625" bestFit="1" customWidth="1"/>
    <col min="13" max="13" width="11.1796875" bestFit="1" customWidth="1"/>
    <col min="14" max="14" width="10.453125" bestFit="1" customWidth="1"/>
    <col min="15" max="15" width="6.54296875" bestFit="1" customWidth="1"/>
    <col min="16" max="16" width="10.4531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2017</v>
      </c>
      <c r="B2">
        <v>2021</v>
      </c>
    </row>
    <row r="4" spans="1:2" x14ac:dyDescent="0.35">
      <c r="A4" t="s">
        <v>114</v>
      </c>
    </row>
    <row r="5" spans="1:2" x14ac:dyDescent="0.35">
      <c r="A5">
        <v>2021</v>
      </c>
    </row>
    <row r="8" spans="1:2" x14ac:dyDescent="0.35">
      <c r="A8" t="s">
        <v>254</v>
      </c>
    </row>
    <row r="9" spans="1:2" x14ac:dyDescent="0.35">
      <c r="A9" t="str">
        <f>"TABLE 5A ALCOHOL INVOLVED FATAL AND INJURY CRASHES BY MONTH "&amp;A2&amp;"-"&amp;B2</f>
        <v>TABLE 5A ALCOHOL INVOLVED FATAL AND INJURY CRASHES BY MONTH 2017-2021</v>
      </c>
    </row>
    <row r="11" spans="1:2" x14ac:dyDescent="0.35">
      <c r="A11" t="s">
        <v>255</v>
      </c>
    </row>
    <row r="12" spans="1:2" x14ac:dyDescent="0.35">
      <c r="A12" t="str">
        <f>"TABLE 5B PERSONS KILLED AND INJURED IN ALCOHOL INVOLVED CRASHES BY MONTH "&amp;A2&amp;"-"&amp;B2</f>
        <v>TABLE 5B PERSONS KILLED AND INJURED IN ALCOHOL INVOLVED CRASHES BY MONTH 2017-2021</v>
      </c>
    </row>
    <row r="14" spans="1:2" x14ac:dyDescent="0.35">
      <c r="A14" t="s">
        <v>256</v>
      </c>
    </row>
    <row r="15" spans="1:2" x14ac:dyDescent="0.35">
      <c r="A15" t="str">
        <f>"TABLE 5C ALCOHOL INVOLVED FATAL AND INJURY CRASHES BY COUNTY "&amp;A2&amp;"-"&amp;B2</f>
        <v>TABLE 5C ALCOHOL INVOLVED FATAL AND INJURY CRASHES BY COUNTY 2017-2021</v>
      </c>
    </row>
    <row r="17" spans="1:11" x14ac:dyDescent="0.35">
      <c r="A17" t="s">
        <v>257</v>
      </c>
    </row>
    <row r="18" spans="1:11" x14ac:dyDescent="0.35">
      <c r="A18" t="str">
        <f>"TABLE 5D PERSONS KILLED AND INJURED IN ALCOHOL INVOLVED CRASHES BY COUNTY "&amp;A2&amp;"-"&amp;B2</f>
        <v>TABLE 5D PERSONS KILLED AND INJURED IN ALCOHOL INVOLVED CRASHES BY COUNTY 2017-2021</v>
      </c>
    </row>
    <row r="20" spans="1:11" x14ac:dyDescent="0.35">
      <c r="A20" t="s">
        <v>258</v>
      </c>
    </row>
    <row r="21" spans="1:11" x14ac:dyDescent="0.35">
      <c r="A21" t="str">
        <f>"TABLE 5E PERSONS KILLED AND INJURED IN ALCOHOL INVOLVED CRASHES BY VICTIM TYPE "&amp;A2&amp;"-"&amp;B2</f>
        <v>TABLE 5E PERSONS KILLED AND INJURED IN ALCOHOL INVOLVED CRASHES BY VICTIM TYPE 2017-2021</v>
      </c>
    </row>
    <row r="23" spans="1:11" x14ac:dyDescent="0.35">
      <c r="A23" t="s">
        <v>259</v>
      </c>
    </row>
    <row r="24" spans="1:11" x14ac:dyDescent="0.35">
      <c r="A24" t="str">
        <f>"TABLE 5F MOTOR VEHICLE DRIVERS IN ALCOHOL INVOLVED FATAL AND INJURY CRASHES BY TYPE OF CRASH BY"</f>
        <v>TABLE 5F MOTOR VEHICLE DRIVERS IN ALCOHOL INVOLVED FATAL AND INJURY CRASHES BY TYPE OF CRASH BY</v>
      </c>
    </row>
    <row r="25" spans="1:11" x14ac:dyDescent="0.35">
      <c r="A25" t="str">
        <f>"MOVEMENT PRECEDING CRASH - "&amp;A5&amp;""</f>
        <v>MOVEMENT PRECEDING CRASH - 2021</v>
      </c>
    </row>
    <row r="27" spans="1:11" x14ac:dyDescent="0.35">
      <c r="A27" t="s">
        <v>260</v>
      </c>
    </row>
    <row r="28" spans="1:11" x14ac:dyDescent="0.35">
      <c r="A28" t="str">
        <f>"TABLE 5G PARTIES IN FATAL AND INJURY CRASHES BY SEX BY DEGREE OF ALCOHOL IMPAIRMENT - "&amp;A5</f>
        <v>TABLE 5G PARTIES IN FATAL AND INJURY CRASHES BY SEX BY DEGREE OF ALCOHOL IMPAIRMENT - 2021</v>
      </c>
    </row>
    <row r="30" spans="1:11" x14ac:dyDescent="0.35">
      <c r="A30" s="24" t="s">
        <v>253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2" spans="1:11" x14ac:dyDescent="0.35">
      <c r="A32" t="s">
        <v>248</v>
      </c>
    </row>
    <row r="33" spans="1:16" x14ac:dyDescent="0.35">
      <c r="A33" s="48" t="s">
        <v>16</v>
      </c>
      <c r="B33" s="48" t="s">
        <v>16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</row>
    <row r="34" spans="1:16" x14ac:dyDescent="0.35">
      <c r="A34" s="49"/>
      <c r="B34" s="104" t="s">
        <v>115</v>
      </c>
      <c r="C34" s="105"/>
      <c r="D34" s="105"/>
      <c r="E34" s="105"/>
      <c r="F34" s="105"/>
      <c r="G34" s="105"/>
      <c r="H34" s="105"/>
      <c r="I34" s="104" t="s">
        <v>116</v>
      </c>
      <c r="J34" s="105"/>
      <c r="K34" s="105"/>
      <c r="L34" s="105"/>
      <c r="M34" s="105"/>
      <c r="N34" s="105"/>
      <c r="O34" s="104" t="s">
        <v>17</v>
      </c>
    </row>
    <row r="35" spans="1:16" x14ac:dyDescent="0.35">
      <c r="A35" s="49"/>
      <c r="B35" s="104" t="s">
        <v>2</v>
      </c>
      <c r="C35" s="105"/>
      <c r="D35" s="105"/>
      <c r="E35" s="104" t="s">
        <v>3</v>
      </c>
      <c r="F35" s="105"/>
      <c r="G35" s="105"/>
      <c r="H35" s="105"/>
      <c r="I35" s="104" t="s">
        <v>2</v>
      </c>
      <c r="J35" s="105"/>
      <c r="K35" s="105"/>
      <c r="L35" s="104" t="s">
        <v>3</v>
      </c>
      <c r="M35" s="105"/>
      <c r="N35" s="105"/>
      <c r="O35" s="106"/>
    </row>
    <row r="36" spans="1:16" ht="43.5" x14ac:dyDescent="0.35">
      <c r="A36" s="50" t="s">
        <v>117</v>
      </c>
      <c r="B36" s="78" t="s">
        <v>118</v>
      </c>
      <c r="C36" s="78" t="s">
        <v>119</v>
      </c>
      <c r="D36" s="78" t="s">
        <v>121</v>
      </c>
      <c r="E36" s="78" t="s">
        <v>118</v>
      </c>
      <c r="F36" s="78" t="s">
        <v>119</v>
      </c>
      <c r="G36" s="78" t="s">
        <v>120</v>
      </c>
      <c r="H36" s="78" t="s">
        <v>121</v>
      </c>
      <c r="I36" s="78" t="s">
        <v>118</v>
      </c>
      <c r="J36" s="78" t="s">
        <v>119</v>
      </c>
      <c r="K36" s="78" t="s">
        <v>121</v>
      </c>
      <c r="L36" s="78" t="s">
        <v>118</v>
      </c>
      <c r="M36" s="78" t="s">
        <v>119</v>
      </c>
      <c r="N36" s="78" t="s">
        <v>121</v>
      </c>
      <c r="O36" s="106"/>
    </row>
    <row r="37" spans="1:16" x14ac:dyDescent="0.35">
      <c r="A37" s="79" t="s">
        <v>126</v>
      </c>
      <c r="B37" s="51">
        <v>691</v>
      </c>
      <c r="C37" s="51">
        <v>157</v>
      </c>
      <c r="D37" s="51">
        <v>2</v>
      </c>
      <c r="E37" s="51">
        <v>10913</v>
      </c>
      <c r="F37" s="51">
        <v>3889</v>
      </c>
      <c r="G37" s="51">
        <v>1</v>
      </c>
      <c r="H37" s="51">
        <v>60</v>
      </c>
      <c r="I37" s="51">
        <v>119</v>
      </c>
      <c r="J37" s="51">
        <v>24</v>
      </c>
      <c r="K37" s="51">
        <v>1</v>
      </c>
      <c r="L37" s="51">
        <v>316</v>
      </c>
      <c r="M37" s="51">
        <v>83</v>
      </c>
      <c r="N37" s="51">
        <v>4</v>
      </c>
      <c r="O37" s="51">
        <v>16260</v>
      </c>
    </row>
    <row r="38" spans="1:16" x14ac:dyDescent="0.35">
      <c r="A38" s="79" t="s">
        <v>127</v>
      </c>
      <c r="B38" s="51">
        <v>77</v>
      </c>
      <c r="C38" s="51">
        <v>20</v>
      </c>
      <c r="D38" s="51"/>
      <c r="E38" s="51">
        <v>1948</v>
      </c>
      <c r="F38" s="51">
        <v>1046</v>
      </c>
      <c r="G38" s="51"/>
      <c r="H38" s="51">
        <v>19</v>
      </c>
      <c r="I38" s="51">
        <v>15</v>
      </c>
      <c r="J38" s="51">
        <v>2</v>
      </c>
      <c r="K38" s="51"/>
      <c r="L38" s="51">
        <v>213</v>
      </c>
      <c r="M38" s="51">
        <v>71</v>
      </c>
      <c r="N38" s="51">
        <v>5</v>
      </c>
      <c r="O38" s="51">
        <v>3416</v>
      </c>
    </row>
    <row r="39" spans="1:16" x14ac:dyDescent="0.35">
      <c r="A39" s="79" t="s">
        <v>128</v>
      </c>
      <c r="B39" s="51">
        <v>102</v>
      </c>
      <c r="C39" s="51">
        <v>27</v>
      </c>
      <c r="D39" s="51">
        <v>7</v>
      </c>
      <c r="E39" s="51">
        <v>879</v>
      </c>
      <c r="F39" s="51">
        <v>301</v>
      </c>
      <c r="G39" s="51">
        <v>4</v>
      </c>
      <c r="H39" s="51">
        <v>676</v>
      </c>
      <c r="I39" s="51">
        <v>41</v>
      </c>
      <c r="J39" s="51">
        <v>8</v>
      </c>
      <c r="K39" s="51"/>
      <c r="L39" s="51">
        <v>322</v>
      </c>
      <c r="M39" s="51">
        <v>92</v>
      </c>
      <c r="N39" s="51">
        <v>8</v>
      </c>
      <c r="O39" s="51">
        <v>2467</v>
      </c>
    </row>
    <row r="40" spans="1:16" x14ac:dyDescent="0.35">
      <c r="A40" s="79" t="s">
        <v>17</v>
      </c>
      <c r="B40" s="51">
        <v>870</v>
      </c>
      <c r="C40" s="51">
        <v>204</v>
      </c>
      <c r="D40" s="51">
        <v>9</v>
      </c>
      <c r="E40" s="51">
        <v>13740</v>
      </c>
      <c r="F40" s="51">
        <v>5236</v>
      </c>
      <c r="G40" s="51">
        <v>5</v>
      </c>
      <c r="H40" s="51">
        <v>755</v>
      </c>
      <c r="I40" s="51">
        <v>175</v>
      </c>
      <c r="J40" s="51">
        <v>34</v>
      </c>
      <c r="K40" s="51">
        <v>1</v>
      </c>
      <c r="L40" s="51">
        <v>851</v>
      </c>
      <c r="M40" s="51">
        <v>246</v>
      </c>
      <c r="N40" s="51">
        <v>17</v>
      </c>
      <c r="O40" s="51">
        <v>22143</v>
      </c>
    </row>
    <row r="42" spans="1:16" x14ac:dyDescent="0.35">
      <c r="A42" s="24" t="s">
        <v>253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4" spans="1:16" x14ac:dyDescent="0.35">
      <c r="A44" t="s">
        <v>249</v>
      </c>
    </row>
    <row r="45" spans="1:16" x14ac:dyDescent="0.35">
      <c r="B45" s="25" t="s">
        <v>16</v>
      </c>
    </row>
    <row r="46" spans="1:16" x14ac:dyDescent="0.35">
      <c r="B46" t="s">
        <v>115</v>
      </c>
      <c r="J46" t="s">
        <v>116</v>
      </c>
    </row>
    <row r="47" spans="1:16" x14ac:dyDescent="0.35">
      <c r="B47" t="s">
        <v>2</v>
      </c>
      <c r="F47" t="s">
        <v>3</v>
      </c>
      <c r="J47" t="s">
        <v>2</v>
      </c>
      <c r="M47" t="s">
        <v>3</v>
      </c>
    </row>
    <row r="48" spans="1:16" x14ac:dyDescent="0.35">
      <c r="B48" t="s">
        <v>118</v>
      </c>
      <c r="C48" t="s">
        <v>119</v>
      </c>
      <c r="D48" t="s">
        <v>120</v>
      </c>
      <c r="E48" t="s">
        <v>121</v>
      </c>
      <c r="F48" t="s">
        <v>118</v>
      </c>
      <c r="G48" t="s">
        <v>119</v>
      </c>
      <c r="H48" t="s">
        <v>120</v>
      </c>
      <c r="I48" t="s">
        <v>121</v>
      </c>
      <c r="J48" t="s">
        <v>118</v>
      </c>
      <c r="K48" t="s">
        <v>119</v>
      </c>
      <c r="L48" t="s">
        <v>121</v>
      </c>
      <c r="M48" t="s">
        <v>118</v>
      </c>
      <c r="N48" t="s">
        <v>119</v>
      </c>
      <c r="O48" t="s">
        <v>120</v>
      </c>
      <c r="P48" t="s">
        <v>121</v>
      </c>
    </row>
    <row r="49" spans="1:16" x14ac:dyDescent="0.35">
      <c r="A49" t="s">
        <v>129</v>
      </c>
      <c r="B49" s="6">
        <v>4602</v>
      </c>
      <c r="C49" s="6">
        <v>1444</v>
      </c>
      <c r="D49" s="6">
        <v>3</v>
      </c>
      <c r="E49" s="6">
        <v>318</v>
      </c>
      <c r="F49" s="6">
        <v>169558</v>
      </c>
      <c r="G49" s="6">
        <v>105409</v>
      </c>
      <c r="H49" s="6">
        <v>159</v>
      </c>
      <c r="I49" s="6">
        <v>13892</v>
      </c>
      <c r="J49" s="6">
        <v>1016</v>
      </c>
      <c r="K49" s="6">
        <v>364</v>
      </c>
      <c r="L49" s="6">
        <v>5</v>
      </c>
      <c r="M49" s="6">
        <v>12463</v>
      </c>
      <c r="N49" s="6">
        <v>5369</v>
      </c>
      <c r="O49" s="6">
        <v>3</v>
      </c>
      <c r="P49" s="6">
        <v>295</v>
      </c>
    </row>
    <row r="50" spans="1:16" ht="15.5" x14ac:dyDescent="0.35">
      <c r="A50" s="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 x14ac:dyDescent="0.35">
      <c r="A51" t="s">
        <v>261</v>
      </c>
    </row>
    <row r="52" spans="1:16" x14ac:dyDescent="0.35">
      <c r="A52" t="str">
        <f>"TABLE 5H MOTOR VEHICLE DRIVERS IN FATAL CRASHES BY AGE BY DEGREE OF ALCOHOL IMPAIRMENT - "&amp;A5</f>
        <v>TABLE 5H MOTOR VEHICLE DRIVERS IN FATAL CRASHES BY AGE BY DEGREE OF ALCOHOL IMPAIRMENT - 2021</v>
      </c>
    </row>
    <row r="54" spans="1:16" x14ac:dyDescent="0.35">
      <c r="A54" s="24" t="s">
        <v>245</v>
      </c>
      <c r="B54" s="24"/>
    </row>
    <row r="56" spans="1:16" x14ac:dyDescent="0.35">
      <c r="A56" t="s">
        <v>250</v>
      </c>
    </row>
    <row r="57" spans="1:16" x14ac:dyDescent="0.35">
      <c r="A57" s="84" t="s">
        <v>16</v>
      </c>
      <c r="B57" s="84" t="s">
        <v>130</v>
      </c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</row>
    <row r="58" spans="1:16" ht="29.25" customHeight="1" x14ac:dyDescent="0.35">
      <c r="A58" s="86" t="s">
        <v>117</v>
      </c>
      <c r="B58" s="89" t="s">
        <v>131</v>
      </c>
      <c r="C58" s="89" t="s">
        <v>234</v>
      </c>
      <c r="D58" s="89" t="s">
        <v>235</v>
      </c>
      <c r="E58" s="89" t="s">
        <v>236</v>
      </c>
      <c r="F58" s="89" t="s">
        <v>237</v>
      </c>
      <c r="G58" s="89" t="s">
        <v>238</v>
      </c>
      <c r="H58" s="89" t="s">
        <v>239</v>
      </c>
      <c r="I58" s="89" t="s">
        <v>240</v>
      </c>
      <c r="J58" s="89" t="s">
        <v>241</v>
      </c>
      <c r="K58" s="89" t="s">
        <v>242</v>
      </c>
      <c r="L58" s="89" t="s">
        <v>177</v>
      </c>
      <c r="M58" s="89" t="s">
        <v>243</v>
      </c>
      <c r="N58" s="89" t="s">
        <v>121</v>
      </c>
      <c r="O58" s="89" t="s">
        <v>17</v>
      </c>
    </row>
    <row r="59" spans="1:16" x14ac:dyDescent="0.35">
      <c r="A59" s="87" t="s">
        <v>126</v>
      </c>
      <c r="B59" s="88">
        <v>1</v>
      </c>
      <c r="C59" s="88">
        <v>62</v>
      </c>
      <c r="D59" s="88">
        <v>145</v>
      </c>
      <c r="E59" s="88">
        <v>170</v>
      </c>
      <c r="F59" s="88">
        <v>137</v>
      </c>
      <c r="G59" s="88">
        <v>97</v>
      </c>
      <c r="H59" s="88">
        <v>67</v>
      </c>
      <c r="I59" s="88">
        <v>43</v>
      </c>
      <c r="J59" s="88">
        <v>44</v>
      </c>
      <c r="K59" s="88">
        <v>40</v>
      </c>
      <c r="L59" s="88">
        <v>15</v>
      </c>
      <c r="M59" s="88">
        <v>28</v>
      </c>
      <c r="N59" s="88">
        <v>1</v>
      </c>
      <c r="O59" s="88">
        <v>850</v>
      </c>
    </row>
    <row r="60" spans="1:16" x14ac:dyDescent="0.35">
      <c r="A60" s="87" t="s">
        <v>127</v>
      </c>
      <c r="B60" s="88"/>
      <c r="C60" s="88">
        <v>6</v>
      </c>
      <c r="D60" s="88">
        <v>11</v>
      </c>
      <c r="E60" s="88">
        <v>17</v>
      </c>
      <c r="F60" s="88">
        <v>12</v>
      </c>
      <c r="G60" s="88">
        <v>9</v>
      </c>
      <c r="H60" s="88">
        <v>13</v>
      </c>
      <c r="I60" s="88">
        <v>3</v>
      </c>
      <c r="J60" s="88">
        <v>6</v>
      </c>
      <c r="K60" s="88">
        <v>5</v>
      </c>
      <c r="L60" s="88">
        <v>8</v>
      </c>
      <c r="M60" s="88">
        <v>7</v>
      </c>
      <c r="N60" s="88"/>
      <c r="O60" s="88">
        <v>97</v>
      </c>
    </row>
    <row r="61" spans="1:16" x14ac:dyDescent="0.35">
      <c r="A61" s="87" t="s">
        <v>128</v>
      </c>
      <c r="B61" s="88"/>
      <c r="C61" s="88">
        <v>11</v>
      </c>
      <c r="D61" s="88">
        <v>12</v>
      </c>
      <c r="E61" s="88">
        <v>26</v>
      </c>
      <c r="F61" s="88">
        <v>9</v>
      </c>
      <c r="G61" s="88">
        <v>13</v>
      </c>
      <c r="H61" s="88">
        <v>7</v>
      </c>
      <c r="I61" s="88">
        <v>8</v>
      </c>
      <c r="J61" s="88">
        <v>14</v>
      </c>
      <c r="K61" s="88">
        <v>10</v>
      </c>
      <c r="L61" s="88">
        <v>10</v>
      </c>
      <c r="M61" s="88">
        <v>8</v>
      </c>
      <c r="N61" s="88">
        <v>8</v>
      </c>
      <c r="O61" s="88">
        <v>136</v>
      </c>
    </row>
    <row r="62" spans="1:16" x14ac:dyDescent="0.35">
      <c r="A62" s="87" t="s">
        <v>17</v>
      </c>
      <c r="B62" s="88">
        <v>1</v>
      </c>
      <c r="C62" s="88">
        <v>79</v>
      </c>
      <c r="D62" s="88">
        <v>168</v>
      </c>
      <c r="E62" s="88">
        <v>213</v>
      </c>
      <c r="F62" s="88">
        <v>158</v>
      </c>
      <c r="G62" s="88">
        <v>119</v>
      </c>
      <c r="H62" s="88">
        <v>87</v>
      </c>
      <c r="I62" s="88">
        <v>54</v>
      </c>
      <c r="J62" s="88">
        <v>64</v>
      </c>
      <c r="K62" s="88">
        <v>55</v>
      </c>
      <c r="L62" s="88">
        <v>33</v>
      </c>
      <c r="M62" s="88">
        <v>43</v>
      </c>
      <c r="N62" s="88">
        <v>9</v>
      </c>
      <c r="O62" s="88">
        <v>1083</v>
      </c>
    </row>
    <row r="64" spans="1:16" x14ac:dyDescent="0.35">
      <c r="A64" s="24" t="s">
        <v>245</v>
      </c>
      <c r="B64" s="24"/>
    </row>
    <row r="66" spans="1:15" x14ac:dyDescent="0.35">
      <c r="A66" t="s">
        <v>251</v>
      </c>
    </row>
    <row r="67" spans="1:15" x14ac:dyDescent="0.35">
      <c r="A67" s="43"/>
      <c r="B67" s="75" t="s">
        <v>130</v>
      </c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</row>
    <row r="68" spans="1:15" ht="29" x14ac:dyDescent="0.35">
      <c r="A68" s="43"/>
      <c r="B68" s="74" t="s">
        <v>131</v>
      </c>
      <c r="C68" s="74" t="s">
        <v>234</v>
      </c>
      <c r="D68" s="74" t="s">
        <v>235</v>
      </c>
      <c r="E68" s="74" t="s">
        <v>236</v>
      </c>
      <c r="F68" s="74" t="s">
        <v>237</v>
      </c>
      <c r="G68" s="74" t="s">
        <v>238</v>
      </c>
      <c r="H68" s="74" t="s">
        <v>239</v>
      </c>
      <c r="I68" s="74" t="s">
        <v>240</v>
      </c>
      <c r="J68" s="74" t="s">
        <v>241</v>
      </c>
      <c r="K68" s="74" t="s">
        <v>242</v>
      </c>
      <c r="L68" s="74" t="s">
        <v>177</v>
      </c>
      <c r="M68" s="74" t="s">
        <v>243</v>
      </c>
      <c r="N68" s="74" t="s">
        <v>121</v>
      </c>
      <c r="O68" s="74" t="s">
        <v>217</v>
      </c>
    </row>
    <row r="69" spans="1:15" x14ac:dyDescent="0.35">
      <c r="A69" s="43" t="s">
        <v>216</v>
      </c>
      <c r="B69" s="43">
        <v>11</v>
      </c>
      <c r="C69" s="43">
        <v>500</v>
      </c>
      <c r="D69" s="43">
        <v>650</v>
      </c>
      <c r="E69" s="43">
        <v>793</v>
      </c>
      <c r="F69" s="43">
        <v>697</v>
      </c>
      <c r="G69" s="43">
        <v>610</v>
      </c>
      <c r="H69" s="43">
        <v>464</v>
      </c>
      <c r="I69" s="43">
        <v>410</v>
      </c>
      <c r="J69" s="43">
        <v>501</v>
      </c>
      <c r="K69" s="43">
        <v>433</v>
      </c>
      <c r="L69" s="43">
        <v>377</v>
      </c>
      <c r="M69" s="43">
        <v>589</v>
      </c>
      <c r="N69" s="43">
        <v>332</v>
      </c>
      <c r="O69" s="43">
        <v>6367</v>
      </c>
    </row>
    <row r="71" spans="1:15" x14ac:dyDescent="0.35">
      <c r="A71" t="s">
        <v>262</v>
      </c>
    </row>
    <row r="72" spans="1:15" x14ac:dyDescent="0.35">
      <c r="A72" t="str">
        <f>"TABLE 5I MOTOR VEHICLE DRIVERS IN INJURY CRASHES BY AGE BY DEGREE OF ALCOHOL IMPAIRMENT - "&amp;A5</f>
        <v>TABLE 5I MOTOR VEHICLE DRIVERS IN INJURY CRASHES BY AGE BY DEGREE OF ALCOHOL IMPAIRMENT - 2021</v>
      </c>
    </row>
    <row r="74" spans="1:15" x14ac:dyDescent="0.35">
      <c r="A74" s="24" t="s">
        <v>247</v>
      </c>
      <c r="B74" s="24"/>
    </row>
    <row r="76" spans="1:15" x14ac:dyDescent="0.35">
      <c r="A76" t="s">
        <v>252</v>
      </c>
    </row>
    <row r="77" spans="1:15" x14ac:dyDescent="0.35">
      <c r="A77" s="48" t="s">
        <v>16</v>
      </c>
      <c r="B77" s="48" t="s">
        <v>130</v>
      </c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</row>
    <row r="78" spans="1:15" ht="31.5" customHeight="1" x14ac:dyDescent="0.35">
      <c r="A78" s="50" t="s">
        <v>117</v>
      </c>
      <c r="B78" s="78" t="s">
        <v>131</v>
      </c>
      <c r="C78" s="78" t="s">
        <v>234</v>
      </c>
      <c r="D78" s="78" t="s">
        <v>235</v>
      </c>
      <c r="E78" s="78" t="s">
        <v>236</v>
      </c>
      <c r="F78" s="78" t="s">
        <v>237</v>
      </c>
      <c r="G78" s="78" t="s">
        <v>238</v>
      </c>
      <c r="H78" s="78" t="s">
        <v>239</v>
      </c>
      <c r="I78" s="78" t="s">
        <v>240</v>
      </c>
      <c r="J78" s="78" t="s">
        <v>241</v>
      </c>
      <c r="K78" s="78" t="s">
        <v>242</v>
      </c>
      <c r="L78" s="78" t="s">
        <v>177</v>
      </c>
      <c r="M78" s="78" t="s">
        <v>243</v>
      </c>
      <c r="N78" s="78" t="s">
        <v>121</v>
      </c>
      <c r="O78" s="78" t="s">
        <v>17</v>
      </c>
    </row>
    <row r="79" spans="1:15" x14ac:dyDescent="0.35">
      <c r="A79" s="79" t="s">
        <v>126</v>
      </c>
      <c r="B79" s="51">
        <v>13</v>
      </c>
      <c r="C79" s="51">
        <v>966</v>
      </c>
      <c r="D79" s="51">
        <v>2588</v>
      </c>
      <c r="E79" s="51">
        <v>3304</v>
      </c>
      <c r="F79" s="51">
        <v>2333</v>
      </c>
      <c r="G79" s="51">
        <v>1567</v>
      </c>
      <c r="H79" s="51">
        <v>1151</v>
      </c>
      <c r="I79" s="51">
        <v>808</v>
      </c>
      <c r="J79" s="51">
        <v>707</v>
      </c>
      <c r="K79" s="51">
        <v>578</v>
      </c>
      <c r="L79" s="51">
        <v>399</v>
      </c>
      <c r="M79" s="51">
        <v>406</v>
      </c>
      <c r="N79" s="51">
        <v>43</v>
      </c>
      <c r="O79" s="51">
        <v>14863</v>
      </c>
    </row>
    <row r="80" spans="1:15" x14ac:dyDescent="0.35">
      <c r="A80" s="79" t="s">
        <v>127</v>
      </c>
      <c r="B80" s="51">
        <v>7</v>
      </c>
      <c r="C80" s="51">
        <v>264</v>
      </c>
      <c r="D80" s="51">
        <v>388</v>
      </c>
      <c r="E80" s="51">
        <v>506</v>
      </c>
      <c r="F80" s="51">
        <v>359</v>
      </c>
      <c r="G80" s="51">
        <v>294</v>
      </c>
      <c r="H80" s="51">
        <v>254</v>
      </c>
      <c r="I80" s="51">
        <v>184</v>
      </c>
      <c r="J80" s="51">
        <v>181</v>
      </c>
      <c r="K80" s="51">
        <v>181</v>
      </c>
      <c r="L80" s="51">
        <v>146</v>
      </c>
      <c r="M80" s="51">
        <v>224</v>
      </c>
      <c r="N80" s="51">
        <v>25</v>
      </c>
      <c r="O80" s="51">
        <v>3013</v>
      </c>
    </row>
    <row r="81" spans="1:15" x14ac:dyDescent="0.35">
      <c r="A81" s="79" t="s">
        <v>128</v>
      </c>
      <c r="B81" s="51">
        <v>4</v>
      </c>
      <c r="C81" s="51">
        <v>78</v>
      </c>
      <c r="D81" s="51">
        <v>132</v>
      </c>
      <c r="E81" s="51">
        <v>211</v>
      </c>
      <c r="F81" s="51">
        <v>141</v>
      </c>
      <c r="G81" s="51">
        <v>103</v>
      </c>
      <c r="H81" s="51">
        <v>93</v>
      </c>
      <c r="I81" s="51">
        <v>49</v>
      </c>
      <c r="J81" s="51">
        <v>49</v>
      </c>
      <c r="K81" s="51">
        <v>41</v>
      </c>
      <c r="L81" s="51">
        <v>29</v>
      </c>
      <c r="M81" s="51">
        <v>50</v>
      </c>
      <c r="N81" s="51">
        <v>880</v>
      </c>
      <c r="O81" s="51">
        <v>1860</v>
      </c>
    </row>
    <row r="82" spans="1:15" x14ac:dyDescent="0.35">
      <c r="A82" s="79" t="s">
        <v>17</v>
      </c>
      <c r="B82" s="51">
        <v>24</v>
      </c>
      <c r="C82" s="51">
        <v>1308</v>
      </c>
      <c r="D82" s="51">
        <v>3108</v>
      </c>
      <c r="E82" s="51">
        <v>4021</v>
      </c>
      <c r="F82" s="51">
        <v>2833</v>
      </c>
      <c r="G82" s="51">
        <v>1964</v>
      </c>
      <c r="H82" s="51">
        <v>1498</v>
      </c>
      <c r="I82" s="51">
        <v>1041</v>
      </c>
      <c r="J82" s="51">
        <v>937</v>
      </c>
      <c r="K82" s="51">
        <v>800</v>
      </c>
      <c r="L82" s="51">
        <v>574</v>
      </c>
      <c r="M82" s="51">
        <v>680</v>
      </c>
      <c r="N82" s="51">
        <v>948</v>
      </c>
      <c r="O82" s="51">
        <v>19736</v>
      </c>
    </row>
    <row r="84" spans="1:15" x14ac:dyDescent="0.35">
      <c r="A84" s="24" t="s">
        <v>247</v>
      </c>
      <c r="B84" s="24"/>
    </row>
    <row r="86" spans="1:15" x14ac:dyDescent="0.35">
      <c r="A86" t="s">
        <v>271</v>
      </c>
    </row>
    <row r="87" spans="1:15" x14ac:dyDescent="0.35">
      <c r="A87" s="43"/>
      <c r="B87" s="75" t="s">
        <v>130</v>
      </c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</row>
    <row r="88" spans="1:15" ht="37.5" customHeight="1" x14ac:dyDescent="0.35">
      <c r="A88" s="43"/>
      <c r="B88" s="73" t="s">
        <v>131</v>
      </c>
      <c r="C88" s="73" t="s">
        <v>234</v>
      </c>
      <c r="D88" s="73" t="s">
        <v>235</v>
      </c>
      <c r="E88" s="73" t="s">
        <v>236</v>
      </c>
      <c r="F88" s="73" t="s">
        <v>237</v>
      </c>
      <c r="G88" s="73" t="s">
        <v>238</v>
      </c>
      <c r="H88" s="73" t="s">
        <v>239</v>
      </c>
      <c r="I88" s="73" t="s">
        <v>240</v>
      </c>
      <c r="J88" s="73" t="s">
        <v>241</v>
      </c>
      <c r="K88" s="73" t="s">
        <v>242</v>
      </c>
      <c r="L88" s="73" t="s">
        <v>177</v>
      </c>
      <c r="M88" s="74" t="s">
        <v>243</v>
      </c>
      <c r="N88" s="74" t="s">
        <v>121</v>
      </c>
      <c r="O88" s="73" t="s">
        <v>217</v>
      </c>
    </row>
    <row r="89" spans="1:15" x14ac:dyDescent="0.35">
      <c r="A89" s="43" t="s">
        <v>216</v>
      </c>
      <c r="B89" s="43">
        <v>365</v>
      </c>
      <c r="C89" s="44">
        <v>25228</v>
      </c>
      <c r="D89" s="44">
        <v>30341</v>
      </c>
      <c r="E89" s="44">
        <v>36891</v>
      </c>
      <c r="F89" s="44">
        <v>32446</v>
      </c>
      <c r="G89" s="44">
        <v>26856</v>
      </c>
      <c r="H89" s="44">
        <v>23226</v>
      </c>
      <c r="I89" s="44">
        <v>20075</v>
      </c>
      <c r="J89" s="44">
        <v>19590</v>
      </c>
      <c r="K89" s="44">
        <v>17788</v>
      </c>
      <c r="L89" s="44">
        <v>14421</v>
      </c>
      <c r="M89" s="44">
        <v>24719</v>
      </c>
      <c r="N89" s="44">
        <v>17072</v>
      </c>
      <c r="O89" s="44">
        <v>289018</v>
      </c>
    </row>
    <row r="91" spans="1:15" x14ac:dyDescent="0.35">
      <c r="A91" t="s">
        <v>263</v>
      </c>
    </row>
    <row r="92" spans="1:15" x14ac:dyDescent="0.35">
      <c r="A92" t="str">
        <f>"TABLE 5J HAD BEEN DRINKING DRIVERS IN FATAL AND INJURY CRASHES BY SEX BY AGE - "&amp;A5&amp;""</f>
        <v>TABLE 5J HAD BEEN DRINKING DRIVERS IN FATAL AND INJURY CRASHES BY SEX BY AGE - 2021</v>
      </c>
    </row>
    <row r="94" spans="1:15" x14ac:dyDescent="0.35">
      <c r="A94" t="s">
        <v>264</v>
      </c>
    </row>
    <row r="95" spans="1:15" x14ac:dyDescent="0.35">
      <c r="A95" t="str">
        <f>"TABLE 5K ALCOHOL INVOLVED FATAL CRASHES BY DAY OF WEEK BY HOUR OF DAY - "&amp;A5&amp;""</f>
        <v>TABLE 5K ALCOHOL INVOLVED FATAL CRASHES BY DAY OF WEEK BY HOUR OF DAY - 2021</v>
      </c>
    </row>
    <row r="97" spans="1:2" x14ac:dyDescent="0.35">
      <c r="A97" t="s">
        <v>272</v>
      </c>
    </row>
    <row r="98" spans="1:2" x14ac:dyDescent="0.35">
      <c r="A98" s="25" t="s">
        <v>274</v>
      </c>
      <c r="B98" t="s">
        <v>216</v>
      </c>
    </row>
    <row r="99" spans="1:2" x14ac:dyDescent="0.35">
      <c r="A99" s="26" t="s">
        <v>185</v>
      </c>
      <c r="B99" s="6">
        <v>136</v>
      </c>
    </row>
    <row r="100" spans="1:2" x14ac:dyDescent="0.35">
      <c r="A100" s="26" t="s">
        <v>186</v>
      </c>
      <c r="B100" s="6">
        <v>102</v>
      </c>
    </row>
    <row r="101" spans="1:2" x14ac:dyDescent="0.35">
      <c r="A101" s="26" t="s">
        <v>187</v>
      </c>
      <c r="B101" s="6">
        <v>123</v>
      </c>
    </row>
    <row r="102" spans="1:2" x14ac:dyDescent="0.35">
      <c r="A102" s="26" t="s">
        <v>188</v>
      </c>
      <c r="B102" s="6">
        <v>121</v>
      </c>
    </row>
    <row r="103" spans="1:2" x14ac:dyDescent="0.35">
      <c r="A103" s="26" t="s">
        <v>189</v>
      </c>
      <c r="B103" s="6">
        <v>184</v>
      </c>
    </row>
    <row r="104" spans="1:2" x14ac:dyDescent="0.35">
      <c r="A104" s="26" t="s">
        <v>190</v>
      </c>
      <c r="B104" s="6">
        <v>296</v>
      </c>
    </row>
    <row r="105" spans="1:2" x14ac:dyDescent="0.35">
      <c r="A105" s="26" t="s">
        <v>191</v>
      </c>
      <c r="B105" s="6">
        <v>258</v>
      </c>
    </row>
    <row r="106" spans="1:2" x14ac:dyDescent="0.35">
      <c r="A106" s="26" t="s">
        <v>217</v>
      </c>
      <c r="B106" s="6">
        <v>1220</v>
      </c>
    </row>
    <row r="108" spans="1:2" x14ac:dyDescent="0.35">
      <c r="A108" s="26" t="s">
        <v>265</v>
      </c>
    </row>
    <row r="109" spans="1:2" x14ac:dyDescent="0.35">
      <c r="A109" t="str">
        <f>"TABLE 5L ALCOHOL INVOLVED INJURY CRASHES BY DAY OF WEEK BY HOUR OF DAY - "&amp;A5&amp;""</f>
        <v>TABLE 5L ALCOHOL INVOLVED INJURY CRASHES BY DAY OF WEEK BY HOUR OF DAY - 2021</v>
      </c>
    </row>
    <row r="111" spans="1:2" x14ac:dyDescent="0.35">
      <c r="A111" t="s">
        <v>273</v>
      </c>
    </row>
    <row r="112" spans="1:2" x14ac:dyDescent="0.35">
      <c r="A112" s="25" t="s">
        <v>184</v>
      </c>
      <c r="B112" t="s">
        <v>216</v>
      </c>
    </row>
    <row r="113" spans="1:2" x14ac:dyDescent="0.35">
      <c r="A113" s="26" t="s">
        <v>185</v>
      </c>
      <c r="B113" s="6">
        <v>2179</v>
      </c>
    </row>
    <row r="114" spans="1:2" x14ac:dyDescent="0.35">
      <c r="A114" s="26" t="s">
        <v>186</v>
      </c>
      <c r="B114" s="6">
        <v>1812</v>
      </c>
    </row>
    <row r="115" spans="1:2" x14ac:dyDescent="0.35">
      <c r="A115" s="26" t="s">
        <v>187</v>
      </c>
      <c r="B115" s="6">
        <v>2096</v>
      </c>
    </row>
    <row r="116" spans="1:2" x14ac:dyDescent="0.35">
      <c r="A116" s="26" t="s">
        <v>188</v>
      </c>
      <c r="B116" s="6">
        <v>2179</v>
      </c>
    </row>
    <row r="117" spans="1:2" x14ac:dyDescent="0.35">
      <c r="A117" s="26" t="s">
        <v>189</v>
      </c>
      <c r="B117" s="6">
        <v>3014</v>
      </c>
    </row>
    <row r="118" spans="1:2" x14ac:dyDescent="0.35">
      <c r="A118" s="26" t="s">
        <v>190</v>
      </c>
      <c r="B118" s="6">
        <v>4121</v>
      </c>
    </row>
    <row r="119" spans="1:2" x14ac:dyDescent="0.35">
      <c r="A119" s="26" t="s">
        <v>191</v>
      </c>
      <c r="B119" s="6">
        <v>4385</v>
      </c>
    </row>
    <row r="120" spans="1:2" x14ac:dyDescent="0.35">
      <c r="A120" s="26" t="s">
        <v>217</v>
      </c>
      <c r="B120" s="6">
        <v>19786</v>
      </c>
    </row>
    <row r="122" spans="1:2" x14ac:dyDescent="0.35">
      <c r="A122" t="s">
        <v>266</v>
      </c>
    </row>
    <row r="123" spans="1:2" x14ac:dyDescent="0.35">
      <c r="A123" t="str">
        <f>"TABLE 5M ALCOHOL INVOLVED FATAL CRASHES BY COUNTY BY MONTH - "&amp;A5&amp;""</f>
        <v>TABLE 5M ALCOHOL INVOLVED FATAL CRASHES BY COUNTY BY MONTH - 2021</v>
      </c>
    </row>
    <row r="125" spans="1:2" x14ac:dyDescent="0.35">
      <c r="A125" t="s">
        <v>267</v>
      </c>
    </row>
    <row r="126" spans="1:2" x14ac:dyDescent="0.35">
      <c r="A126" t="str">
        <f>"TABLE 5N PERSONS KILLED IN ALCOHOL INVOLVED CRASHES BY COUNTY BY MONTH - "&amp;A5&amp;""</f>
        <v>TABLE 5N PERSONS KILLED IN ALCOHOL INVOLVED CRASHES BY COUNTY BY MONTH - 2021</v>
      </c>
    </row>
    <row r="128" spans="1:2" x14ac:dyDescent="0.35">
      <c r="A128" t="s">
        <v>268</v>
      </c>
    </row>
    <row r="129" spans="1:1" x14ac:dyDescent="0.35">
      <c r="A129" t="str">
        <f>"TABLE 5O ALCOHOL INVOLVED INJURY CRASHES BY COUNTY BY MONTH - "&amp;A5&amp;""</f>
        <v>TABLE 5O ALCOHOL INVOLVED INJURY CRASHES BY COUNTY BY MONTH - 2021</v>
      </c>
    </row>
    <row r="131" spans="1:1" x14ac:dyDescent="0.35">
      <c r="A131" t="s">
        <v>269</v>
      </c>
    </row>
    <row r="132" spans="1:1" x14ac:dyDescent="0.35">
      <c r="A132" t="str">
        <f>"TABLE 5P PERSONS INJURED IN ALCOHOL INVOLVED CRASHES BY COUNTY BY MONTH - "&amp;A5</f>
        <v>TABLE 5P PERSONS INJURED IN ALCOHOL INVOLVED CRASHES BY COUNTY BY MONTH - 2021</v>
      </c>
    </row>
    <row r="134" spans="1:1" x14ac:dyDescent="0.35">
      <c r="A134" t="s">
        <v>270</v>
      </c>
    </row>
    <row r="135" spans="1:1" x14ac:dyDescent="0.35">
      <c r="A135" t="str">
        <f>"TABLE 5Q PERSONS KILLED AND INJURED IN ALCOHOL INVOLVED CRASHES BY AGE BY VICTIM CLASSIFICATION - "&amp;A5&amp;""</f>
        <v>TABLE 5Q PERSONS KILLED AND INJURED IN ALCOHOL INVOLVED CRASHES BY AGE BY VICTIM CLASSIFICATION - 2021</v>
      </c>
    </row>
  </sheetData>
  <mergeCells count="7">
    <mergeCell ref="B34:H34"/>
    <mergeCell ref="I34:N34"/>
    <mergeCell ref="O34:O36"/>
    <mergeCell ref="B35:D35"/>
    <mergeCell ref="E35:H35"/>
    <mergeCell ref="I35:K35"/>
    <mergeCell ref="L35:N35"/>
  </mergeCells>
  <pageMargins left="0.7" right="0.7" top="0.75" bottom="0.75" header="0.3" footer="0.3"/>
  <pageSetup orientation="portrait" r:id="rId9"/>
  <tableParts count="3">
    <tablePart r:id="rId10"/>
    <tablePart r:id="rId11"/>
    <tablePart r:id="rId1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9F6D1D-48F0-49FA-8CBC-524B38DC6D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 Table 5A</vt:lpstr>
      <vt:lpstr>Table 5B</vt:lpstr>
      <vt:lpstr> Table 5C</vt:lpstr>
      <vt:lpstr>Table 5D</vt:lpstr>
      <vt:lpstr>Table 5E</vt:lpstr>
      <vt:lpstr>Table 5F</vt:lpstr>
      <vt:lpstr>Table 5G</vt:lpstr>
      <vt:lpstr>Table 5H</vt:lpstr>
      <vt:lpstr>Table 5I</vt:lpstr>
      <vt:lpstr>Table 5J</vt:lpstr>
      <vt:lpstr>Table 5K</vt:lpstr>
      <vt:lpstr>Table 5L</vt:lpstr>
      <vt:lpstr>Table 5M</vt:lpstr>
      <vt:lpstr>Table 5N</vt:lpstr>
      <vt:lpstr>Table 5O</vt:lpstr>
      <vt:lpstr>Table 5P</vt:lpstr>
      <vt:lpstr>Table 5Q</vt:lpstr>
      <vt:lpstr>Parameters</vt:lpstr>
    </vt:vector>
  </TitlesOfParts>
  <Company>California Highway Patrol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Boon-Long, Yanyong@CHP</dc:creator>
  <cp:lastModifiedBy>Skeeter, Jeric@CHP</cp:lastModifiedBy>
  <cp:lastPrinted>2025-03-22T20:28:14Z</cp:lastPrinted>
  <dcterms:created xsi:type="dcterms:W3CDTF">2021-06-22T17:19:15Z</dcterms:created>
  <dcterms:modified xsi:type="dcterms:W3CDTF">2026-09-24T17:45:45Z</dcterms:modified>
</cp:coreProperties>
</file>